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O:\eKardex\2002\NWS-2002-1291 Regional General Permit 6 (Residential Overwater Structures) RGP\"/>
    </mc:Choice>
  </mc:AlternateContent>
  <bookViews>
    <workbookView xWindow="0" yWindow="0" windowWidth="2895" windowHeight="6105"/>
  </bookViews>
  <sheets>
    <sheet name="Mitigation Cover Sheet" sheetId="1" r:id="rId1"/>
    <sheet name="Required Mitigation" sheetId="2" r:id="rId2"/>
    <sheet name="Proposed Mitigation" sheetId="3" r:id="rId3"/>
  </sheets>
  <definedNames>
    <definedName name="_xlnm.Print_Area" localSheetId="0">'Mitigation Cover Sheet'!$A$1:$E$29</definedName>
    <definedName name="_xlnm.Print_Area" localSheetId="2">'Proposed Mitigation'!$A$1:$F$80</definedName>
    <definedName name="_xlnm.Print_Titles" localSheetId="2">'Proposed Mitigation'!$5:$5</definedName>
    <definedName name="_xlnm.Print_Titles" localSheetId="1">'Required Mitigation'!$6:$6</definedName>
    <definedName name="Z_36CC4794_C273_4B81_9A7D_2317288926D0_.wvu.PrintTitles" localSheetId="2" hidden="1">'Proposed Mitigation'!$5:$5</definedName>
    <definedName name="Z_36CC4794_C273_4B81_9A7D_2317288926D0_.wvu.PrintTitles" localSheetId="1" hidden="1">'Required Mitigation'!$6:$6</definedName>
  </definedNames>
  <calcPr calcId="152511"/>
  <customWorkbookViews>
    <customWorkbookView name="AGM - Personal View" guid="{36CC4794-C273-4B81-9A7D-2317288926D0}" mergeInterval="0" personalView="1" maximized="1" xWindow="1272" yWindow="-8" windowWidth="1296" windowHeight="1040"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3" l="1"/>
  <c r="F41" i="3"/>
  <c r="F66" i="3"/>
  <c r="F21" i="3" l="1"/>
  <c r="E11" i="3" l="1"/>
  <c r="F16" i="3" l="1"/>
  <c r="F10" i="3" s="1"/>
  <c r="E8" i="2"/>
  <c r="E12" i="2" l="1"/>
  <c r="F7" i="3"/>
  <c r="F61" i="3"/>
  <c r="F68" i="3" s="1"/>
  <c r="F64" i="3" l="1"/>
  <c r="F65" i="3"/>
  <c r="E17" i="2"/>
  <c r="F35" i="3" l="1"/>
  <c r="F34" i="3"/>
  <c r="F45" i="3"/>
  <c r="F52" i="3"/>
  <c r="E29" i="2"/>
  <c r="E31" i="2"/>
  <c r="E15" i="2" l="1"/>
  <c r="F27" i="3" l="1"/>
  <c r="F46" i="3" l="1"/>
  <c r="E35" i="2" l="1"/>
  <c r="F28" i="3" l="1"/>
  <c r="F37" i="3" l="1"/>
  <c r="F38" i="3" l="1"/>
  <c r="F39" i="3" s="1"/>
  <c r="F29" i="3" l="1"/>
  <c r="F47" i="3" l="1"/>
  <c r="F48" i="3" s="1"/>
  <c r="F56" i="3" l="1"/>
  <c r="E38" i="2"/>
  <c r="F59" i="3" l="1"/>
  <c r="F55" i="3"/>
  <c r="F57" i="3" s="1"/>
  <c r="E28" i="2" l="1"/>
  <c r="E41" i="2" s="1"/>
  <c r="E45" i="2" l="1"/>
  <c r="E21" i="2"/>
  <c r="E46" i="2" l="1"/>
  <c r="F8" i="3"/>
  <c r="F62" i="3"/>
  <c r="F18" i="3"/>
  <c r="E51" i="2" l="1"/>
  <c r="E49" i="2"/>
  <c r="F23" i="3"/>
  <c r="F20" i="3"/>
  <c r="E53" i="2" l="1"/>
  <c r="D9" i="1" s="1"/>
  <c r="E9" i="1" l="1"/>
  <c r="F53" i="3"/>
  <c r="F70" i="3" s="1"/>
  <c r="F76" i="3" l="1"/>
  <c r="F74" i="3"/>
  <c r="F80" i="3" l="1"/>
  <c r="D10" i="1" s="1"/>
  <c r="E10" i="1" s="1"/>
  <c r="D11" i="1" l="1"/>
  <c r="E11" i="1" s="1"/>
</calcChain>
</file>

<file path=xl/sharedStrings.xml><?xml version="1.0" encoding="utf-8"?>
<sst xmlns="http://schemas.openxmlformats.org/spreadsheetml/2006/main" count="280" uniqueCount="186">
  <si>
    <t>Floats</t>
  </si>
  <si>
    <t>Qty</t>
  </si>
  <si>
    <t>Case-by-Case</t>
  </si>
  <si>
    <t>SF of existing structure</t>
  </si>
  <si>
    <t>Number of piles</t>
  </si>
  <si>
    <t>Units</t>
  </si>
  <si>
    <t>Placement area in SF</t>
  </si>
  <si>
    <t>Planted area in SF</t>
  </si>
  <si>
    <t>Remove existing bank stabilization and plant</t>
  </si>
  <si>
    <t>LF removed and planted</t>
  </si>
  <si>
    <t>Remove entire existing manmade groin</t>
  </si>
  <si>
    <t>SF of groin removed</t>
  </si>
  <si>
    <t>Mitigation Option</t>
  </si>
  <si>
    <t>Mitigation Points (Credit)</t>
  </si>
  <si>
    <t>Replacement of hardened bank stabilization with pocket beach</t>
  </si>
  <si>
    <t>Complete or partial removal of boat ramp</t>
  </si>
  <si>
    <t>Complete or partial removal of marine railway</t>
  </si>
  <si>
    <t>Riparian Planting</t>
  </si>
  <si>
    <t>Spawning Gravel</t>
  </si>
  <si>
    <t>Large Woody Material (LWM)</t>
  </si>
  <si>
    <t>Credit Purchase</t>
  </si>
  <si>
    <t>Brief description of proposed mitigation</t>
  </si>
  <si>
    <t>Brief description of proposed project</t>
  </si>
  <si>
    <t>Impact</t>
  </si>
  <si>
    <t>Mitigation Points</t>
  </si>
  <si>
    <t>RIPARIAN ZONE IMPACTS</t>
  </si>
  <si>
    <t>SF of woody vegetation permanently cleared</t>
  </si>
  <si>
    <t>UPPER SHORE ZONE (USZ) IMPACTS</t>
  </si>
  <si>
    <t>SF of structure</t>
  </si>
  <si>
    <t>LOWER SHORE ZONE (LSZ) IMPACTS</t>
  </si>
  <si>
    <t>Piers &amp; Piles</t>
  </si>
  <si>
    <t>Floating Watercraft Lifts</t>
  </si>
  <si>
    <t>DEEPER SHORE ZONE (DSZ) IMPACTS</t>
  </si>
  <si>
    <t>Yes or No</t>
  </si>
  <si>
    <t>Reference #</t>
  </si>
  <si>
    <t>Project Name</t>
  </si>
  <si>
    <t>MITIGATION CREDITS</t>
  </si>
  <si>
    <t>Mitigation Debit Sub-Total</t>
  </si>
  <si>
    <t>Remaining Mitigation Points Required</t>
  </si>
  <si>
    <t>SHORE ZONES</t>
  </si>
  <si>
    <t>Riparian Zone</t>
  </si>
  <si>
    <t>Lower Shore Zone (LSZ)</t>
  </si>
  <si>
    <t>Upper Shore Zone (USZ)</t>
  </si>
  <si>
    <t>Deeper Shore Zone (DSZ)</t>
  </si>
  <si>
    <t>HTL to 50 feet landward of HTL</t>
  </si>
  <si>
    <t>HTL to +5 feet MLLW</t>
  </si>
  <si>
    <t>Deeper than -10 feet MLLW or outer limits of SAV</t>
  </si>
  <si>
    <t>VEGETATION SCENARIO</t>
  </si>
  <si>
    <t>Scenario 0</t>
  </si>
  <si>
    <t>Scenario 1</t>
  </si>
  <si>
    <t>Scenario 2</t>
  </si>
  <si>
    <t>Scenario 3</t>
  </si>
  <si>
    <t>Description</t>
  </si>
  <si>
    <r>
      <rPr>
        <u/>
        <sz val="12"/>
        <color theme="1"/>
        <rFont val="Arial"/>
        <family val="2"/>
      </rPr>
      <t>&lt;</t>
    </r>
    <r>
      <rPr>
        <sz val="12"/>
        <color theme="1"/>
        <rFont val="Arial"/>
        <family val="2"/>
      </rPr>
      <t xml:space="preserve"> 10%</t>
    </r>
  </si>
  <si>
    <t>Enter Vegetation Scenario 0-3</t>
  </si>
  <si>
    <t>N/A</t>
  </si>
  <si>
    <t>OTHER DEBITTING FACTORS</t>
  </si>
  <si>
    <t>LSZ Forage Fish Factor</t>
  </si>
  <si>
    <t>DSAYS</t>
  </si>
  <si>
    <t>Native Eelgrass and/or Kelp occurs within 25 feet of project area</t>
  </si>
  <si>
    <r>
      <rPr>
        <u/>
        <sz val="12"/>
        <color theme="1"/>
        <rFont val="Arial"/>
        <family val="2"/>
      </rPr>
      <t>&gt;</t>
    </r>
    <r>
      <rPr>
        <sz val="12"/>
        <color theme="1"/>
        <rFont val="Arial"/>
        <family val="2"/>
      </rPr>
      <t xml:space="preserve"> 70% Combined SAV</t>
    </r>
  </si>
  <si>
    <t>26-69% Combined SAV</t>
  </si>
  <si>
    <r>
      <t xml:space="preserve">1-25% </t>
    </r>
    <r>
      <rPr>
        <sz val="11"/>
        <color theme="1"/>
        <rFont val="Arial"/>
        <family val="2"/>
      </rPr>
      <t>Combined SAV</t>
    </r>
  </si>
  <si>
    <t>11-25%</t>
  </si>
  <si>
    <t>26-75%</t>
  </si>
  <si>
    <t>&gt; 75%</t>
  </si>
  <si>
    <r>
      <t xml:space="preserve">Total Required Mitigation </t>
    </r>
    <r>
      <rPr>
        <b/>
        <sz val="11"/>
        <color theme="1"/>
        <rFont val="Arial"/>
        <family val="2"/>
      </rPr>
      <t>(Appendix B, Table 2)</t>
    </r>
  </si>
  <si>
    <r>
      <t xml:space="preserve">Total Proposed Mitigation </t>
    </r>
    <r>
      <rPr>
        <b/>
        <sz val="11"/>
        <color theme="1"/>
        <rFont val="Arial"/>
        <family val="2"/>
      </rPr>
      <t>(Appendix B, Table 3)</t>
    </r>
  </si>
  <si>
    <t>SF of solid-deck structure</t>
  </si>
  <si>
    <t>Must enter vegetation scenario for LSZ (See table 1)</t>
  </si>
  <si>
    <t>If the project is located within a pocket estuary, bluff-backed beach, or pocket beach, enter Yes, otherwise No.</t>
  </si>
  <si>
    <t>If the project is located within a Major Estuary Zone (see Corps webpage for zone mapping), enter Yes, otherwise No.</t>
  </si>
  <si>
    <t>Mitigation Bank or In-Lieu-Fee Credit</t>
  </si>
  <si>
    <t>Appendix B: Table 1</t>
  </si>
  <si>
    <r>
      <rPr>
        <b/>
        <sz val="11"/>
        <color theme="1"/>
        <rFont val="Arial"/>
        <family val="2"/>
      </rPr>
      <t>EXAMPLE</t>
    </r>
    <r>
      <rPr>
        <sz val="11"/>
        <color theme="1"/>
        <rFont val="Arial"/>
        <family val="2"/>
      </rPr>
      <t>: Site has 25% Native eelgrass and 45% other SAV (total 70 % cover) within 25 feet of project area.  Select Scenario 3 from Column 1 because native eelgrass is present.</t>
    </r>
  </si>
  <si>
    <t>Coastal Atlas Map</t>
  </si>
  <si>
    <t>Major Estuary Zone Maps</t>
  </si>
  <si>
    <t>Forage Fish Maps</t>
  </si>
  <si>
    <t xml:space="preserve">Install Float Stops  </t>
  </si>
  <si>
    <t>SF of existing grated float in LSZ</t>
  </si>
  <si>
    <t>Remove structure in DSZ</t>
  </si>
  <si>
    <t>SF of existing solid-decked float or watercraft lift in LSZ</t>
  </si>
  <si>
    <t>Remove solid-decked float or watercraft lift in LSZ</t>
  </si>
  <si>
    <t>Remove Existing Bank Stabilization / Groin / Debris</t>
  </si>
  <si>
    <t>Pier</t>
  </si>
  <si>
    <t>SF of solid-decking on float or area of pontoons on lifts in USZ</t>
  </si>
  <si>
    <t>SF of solid-decking on float in USZ</t>
  </si>
  <si>
    <t>+5 feet MLLW to -10 feet MLLW and limits of SAV</t>
  </si>
  <si>
    <t>Other SAV occurs within 25 feet of project area (no native eelgrass or kelp present)</t>
  </si>
  <si>
    <r>
      <t xml:space="preserve">If the pier is fully grated and width is </t>
    </r>
    <r>
      <rPr>
        <u/>
        <sz val="12"/>
        <color theme="1"/>
        <rFont val="Arial"/>
        <family val="2"/>
      </rPr>
      <t xml:space="preserve">&lt; </t>
    </r>
    <r>
      <rPr>
        <sz val="12"/>
        <color theme="1"/>
        <rFont val="Arial"/>
        <family val="2"/>
      </rPr>
      <t xml:space="preserve">4 feet for single use or </t>
    </r>
    <r>
      <rPr>
        <u/>
        <sz val="12"/>
        <color theme="1"/>
        <rFont val="Arial"/>
        <family val="2"/>
      </rPr>
      <t>&lt;</t>
    </r>
    <r>
      <rPr>
        <sz val="12"/>
        <color theme="1"/>
        <rFont val="Arial"/>
        <family val="2"/>
      </rPr>
      <t xml:space="preserve"> 6 feet for joint-use, enter the SF of structure.  No MPs accrued if vegetation scenario 0-2.</t>
    </r>
  </si>
  <si>
    <t>If the pier is fully grated and width is &lt; 4 feet for single use or &lt; 6 feet for joint-use, no mitigation points.</t>
  </si>
  <si>
    <t>Enter the square feet of floats located in the DSZ.</t>
  </si>
  <si>
    <t>Enter the SF of float(s), including access float, located in LSZ where the float is 50% grated with 60% or more open space and there are 8 or less piles.</t>
  </si>
  <si>
    <t>Plant native woody vegetation (within 10 feet of bulkhead)</t>
  </si>
  <si>
    <t>Remove Piles</t>
  </si>
  <si>
    <t>Remove creosote-treated piles</t>
  </si>
  <si>
    <t>Enter Vegetation Scenario in LSZ</t>
  </si>
  <si>
    <t>Remove grated float (assumes 50% grated surface) including pilings.</t>
  </si>
  <si>
    <t>SF of existing structure in DSZ</t>
  </si>
  <si>
    <t>Install float stops on existing float that currently grounds out (does not count if float is being removed)</t>
  </si>
  <si>
    <t>Remove solid-decked float or watercraft lift in LSZ.  Piling removal counted separately.</t>
  </si>
  <si>
    <t>Remove old float or floating watercraft lift in USZ (assumes vegetation scenario 0).  Additional credit may be granted if removal is proposed in high quality SAV scenario. Piling removal counted separately.</t>
  </si>
  <si>
    <t>Remove existing float or boat lift in USZ (assumes vegetation scenario 0).  Additional credit may be granted if removal is proposed in high quality SAV scenario. Piling removal counted separately.</t>
  </si>
  <si>
    <t>Other</t>
  </si>
  <si>
    <t>OTHER CREDITING FACTORS</t>
  </si>
  <si>
    <t>TOTAL REQUIRED MITIGATION</t>
  </si>
  <si>
    <t>TOTAL PROPOSED MITIGATION</t>
  </si>
  <si>
    <t>REQUIRED MITIGATION SUB-TOTAL</t>
  </si>
  <si>
    <t xml:space="preserve">Remove Existing Functional Structures </t>
  </si>
  <si>
    <t>(Constructed within the last 25 years)</t>
  </si>
  <si>
    <t>(Constructed more than 25 years ago)</t>
  </si>
  <si>
    <t>SF of concrete debris removed</t>
  </si>
  <si>
    <t>Remove existing pier in USZ:  Enter SF for fully grated structure if width is &gt; 4 feet for single use or &gt; 6 feet for joint-use.</t>
  </si>
  <si>
    <t>UPPER SHORE ZONE (USZ) MITIGATION</t>
  </si>
  <si>
    <t>LOWER SHORE ZONE (LSZ) MITIGATION</t>
  </si>
  <si>
    <t xml:space="preserve">Removal of fully grated pier sections in the LSZ with width &gt; 4 feet for single use or &gt; 6 feet for joint-use; enter SF of grated portions of pier.  </t>
  </si>
  <si>
    <t xml:space="preserve">If the  pier in the LSZ is fully grated and width is &gt; 4 feet for single use or &gt; 6 feet for joint-use, enter SF of structure.  </t>
  </si>
  <si>
    <t>Piers</t>
  </si>
  <si>
    <t xml:space="preserve">Enter the SF of floating watercraft lifts located in the LSZ.  </t>
  </si>
  <si>
    <t>If the USZ pier is fully grated and width is &gt; 4 feet for single use or &gt; 6 feet for joint-use, enter SF of structure. (may be required for ADA Access).</t>
  </si>
  <si>
    <t>USZ Forage Fish Factor (for oversized or solid-decked structures)</t>
  </si>
  <si>
    <t>Piles are spaced closer than 40 feet apart</t>
  </si>
  <si>
    <t>Project is located in documented sand lance or surf smelt spawning habitat</t>
  </si>
  <si>
    <t>SF of pontoon</t>
  </si>
  <si>
    <t xml:space="preserve">Vegetation removal adjacent to soft shorelines (including soft bioengineered shorelines): Enter SF of woody vegetation with a DBH &gt; 4 in riparian work strip to be permanently cleared for access to overwater structure. </t>
  </si>
  <si>
    <t>Remove Existing Old Structures</t>
  </si>
  <si>
    <t>SF of boat ramp</t>
  </si>
  <si>
    <t>Total Required Mitigation</t>
  </si>
  <si>
    <t>Plant native woody vegetation (within 10 feet of natural shoreline)</t>
  </si>
  <si>
    <t>Marine Overwater Structure Mitigation Calculation Tool (RGP-6, Appendix B)</t>
  </si>
  <si>
    <t>If the pier in the USZ has solid-decking, include the SF of solid-decked portion of the structure here (Does not qualify for RGP-6).  If the structure also exceeds width requirements, enter any grated SQFT of pier above.</t>
  </si>
  <si>
    <t xml:space="preserve">If the pier in the LSZ is proposed to include solid-decking, include the SF of solid-decked portion of the structure here (Does not qualify for RGP-6).  If the structure also exceeds width requirements, enter grated SQFT of pier above.  </t>
  </si>
  <si>
    <t>Number of all pier pilings in LSZ.</t>
  </si>
  <si>
    <t>Number of all pier pilings for piers with solid decking, only in LSZ.</t>
  </si>
  <si>
    <t>Number of all pier pilings in USZ.</t>
  </si>
  <si>
    <t>Oversized Structure</t>
  </si>
  <si>
    <t>Solid-decked Structure</t>
  </si>
  <si>
    <t>Standard Structure</t>
  </si>
  <si>
    <t>Standard Structure            (Pile Spacing &amp; Habitat)</t>
  </si>
  <si>
    <t>Habitat</t>
  </si>
  <si>
    <t>SAV</t>
  </si>
  <si>
    <t>Structure</t>
  </si>
  <si>
    <t>Shoreline Impacts</t>
  </si>
  <si>
    <t xml:space="preserve">Removal of pier in LSZ with solid-decking, include the SF of solid-decked portion of the structure here. If the structure also exceeds width requirements, enter grated SF of pier above.  </t>
  </si>
  <si>
    <t>Shoreline Plantings</t>
  </si>
  <si>
    <t>Beach Nourishment</t>
  </si>
  <si>
    <t>LWM</t>
  </si>
  <si>
    <t>Pile Removal</t>
  </si>
  <si>
    <t>Float Stops</t>
  </si>
  <si>
    <t>Float or Lift</t>
  </si>
  <si>
    <t>Grated Pier</t>
  </si>
  <si>
    <t>Solid-decked Pier</t>
  </si>
  <si>
    <t>Grated Float</t>
  </si>
  <si>
    <t>Solid-decked Float/Lift</t>
  </si>
  <si>
    <t>Remove Existing Functional Structures</t>
  </si>
  <si>
    <t>Remove Stabilization / Groin</t>
  </si>
  <si>
    <t>Remove Ramp/Debris/Rail</t>
  </si>
  <si>
    <t>Remove Existing "Old" Structures</t>
  </si>
  <si>
    <t>Shoreline Restoration</t>
  </si>
  <si>
    <t xml:space="preserve">Forage Fish Factor: Project is located in documented or potential sand lance or surf smelt spawning habitat.  </t>
  </si>
  <si>
    <t>Forage Fish Factor: Project is located in documented or potential herring spawning habitat.</t>
  </si>
  <si>
    <t>Forage Fish Factor: Project is located in documented or potential sand lance or surf smelt spawning habitat.</t>
  </si>
  <si>
    <t>SF of solid-decking on elevated pier in USZ.</t>
  </si>
  <si>
    <t>Remove existing pier in USZ.  Enter SF of solid surface, only (assumes vegetation scenario 0).  Additional credit may be granted if removal is proposed in high quality SAV scenario.  Piling removal counted separately.</t>
  </si>
  <si>
    <r>
      <t xml:space="preserve">*SAV defined as rooted vascular plants and attached macroalgae.  Drift algae and </t>
    </r>
    <r>
      <rPr>
        <i/>
        <sz val="11"/>
        <color theme="1"/>
        <rFont val="Arial"/>
        <family val="2"/>
      </rPr>
      <t>Ulva spp</t>
    </r>
    <r>
      <rPr>
        <sz val="11"/>
        <color theme="1"/>
        <rFont val="Arial"/>
        <family val="2"/>
      </rPr>
      <t xml:space="preserve">. Are not included when determining cover percentage except where </t>
    </r>
    <r>
      <rPr>
        <i/>
        <sz val="11"/>
        <color theme="1"/>
        <rFont val="Arial"/>
        <family val="2"/>
      </rPr>
      <t>Ulva spp</t>
    </r>
    <r>
      <rPr>
        <sz val="11"/>
        <color theme="1"/>
        <rFont val="Arial"/>
        <family val="2"/>
      </rPr>
      <t>. occurs in documented herring spawning areas.</t>
    </r>
  </si>
  <si>
    <t xml:space="preserve">This tool can be used to estimate mitigation required under the Regional General Permit (RGP) 6 (See RGP-6 Appendix B).  In addition this tool can be used to estimate mitigate requirements for similar projects in inland-marine waters.  Before proposing compensatory mitigation, the applicant MUST first demonstrate that impacts to waters of the U.S., including special aquatic sites have been avoided then minimized (in that order) to the maximum extent possible.  To calculate compensatory mitigation requirements, briefly describe the project and then enter the applicable information into the Required Mitigation tab.  This will report the number of Mitigation Points (MPs) required for the project.  Next, on the Proposed Mitigation tab, briefly describe the mitigation proposal and enter the applicable information.  Some mitigative measures yield MPs on a case-by-case basis.  Discuss these options with your Regulatory Project Manager.  Return to the cover sheet to review the totals and any remaining mitigation requirement.   </t>
  </si>
  <si>
    <t>Remove existing pier in USZ (vegetation scenario 0): Enter SF of solid-decked portion of the structure here.  If the structure also exceeds width requirements, enter any grated SF of pier above.</t>
  </si>
  <si>
    <t>If the project is located in documented or potential herring spawning habitat, enter Yes, otherwise No.</t>
  </si>
  <si>
    <t xml:space="preserve">Removal of in the LSZ with solid-decking, include the SF of solid-decked portion of the structure here. If the structure also exceeds width requirements, enter grated SF of pier above.  </t>
  </si>
  <si>
    <t>Forage Fish Factor: Bank stabilization, boat ramp, or debris removal occurs in documented or potential forage fish spawning (surf smelt/sand lance in USZ, herring in LSZ)</t>
  </si>
  <si>
    <t>LF of Shoreline for placement</t>
  </si>
  <si>
    <t>Erosion Potential</t>
  </si>
  <si>
    <t>Shoretype Score</t>
  </si>
  <si>
    <t>Calculated Score</t>
  </si>
  <si>
    <t>Enter score from below</t>
  </si>
  <si>
    <t>Fetch Score</t>
  </si>
  <si>
    <t>Optional</t>
  </si>
  <si>
    <t>Placement of beach nourishment (forage fish habitat improvement).  Credit given if required or recommend by WDFW.  Typically linear placement waterward of bulkhead</t>
  </si>
  <si>
    <t>Placement of beach nourishment in an irregular polygon (not common).  Case-by-case evaluation.  Provide SF of placement area and erosion potential (above)</t>
  </si>
  <si>
    <t>Remove non-treated wood, concrete, plastic, steel piles, or creosote stub / broken pile</t>
  </si>
  <si>
    <t>Prepared on:</t>
  </si>
  <si>
    <t>Install large woody material anchored in USZ (measure area of potential effect)</t>
  </si>
  <si>
    <t>Removal of creosote debris (uncommon)</t>
  </si>
  <si>
    <t>DEEP SHORE ZONE (DSZ) MITIGATION</t>
  </si>
  <si>
    <t>Removal of concrete/metal debris</t>
  </si>
  <si>
    <t>CY of creosote material removed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</si>
</sst>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4" x14ac:knownFonts="1">
    <font>
      <sz val="11"/>
      <color theme="1"/>
      <name val="Calibri"/>
      <family val="2"/>
      <scheme val="minor"/>
    </font>
    <font>
      <sz val="11"/>
      <color theme="1"/>
      <name val="Arial"/>
      <family val="2"/>
    </font>
    <font>
      <b/>
      <sz val="12"/>
      <color theme="1"/>
      <name val="Arial"/>
      <family val="2"/>
    </font>
    <font>
      <sz val="14"/>
      <color theme="1"/>
      <name val="Arial"/>
      <family val="2"/>
    </font>
    <font>
      <sz val="12"/>
      <color theme="1"/>
      <name val="Calibri"/>
      <family val="2"/>
      <scheme val="minor"/>
    </font>
    <font>
      <b/>
      <sz val="16"/>
      <color theme="1"/>
      <name val="Calibri"/>
      <family val="2"/>
      <scheme val="minor"/>
    </font>
    <font>
      <sz val="12"/>
      <color theme="1"/>
      <name val="Arial"/>
      <family val="2"/>
    </font>
    <font>
      <b/>
      <sz val="14"/>
      <color theme="1"/>
      <name val="Arial"/>
      <family val="2"/>
    </font>
    <font>
      <b/>
      <sz val="12"/>
      <color theme="1"/>
      <name val="Calibri"/>
      <family val="2"/>
      <scheme val="minor"/>
    </font>
    <font>
      <u/>
      <sz val="12"/>
      <color theme="1"/>
      <name val="Arial"/>
      <family val="2"/>
    </font>
    <font>
      <b/>
      <i/>
      <sz val="12"/>
      <color theme="1"/>
      <name val="Arial"/>
      <family val="2"/>
    </font>
    <font>
      <b/>
      <sz val="11"/>
      <color theme="1"/>
      <name val="Calibri"/>
      <family val="2"/>
      <scheme val="minor"/>
    </font>
    <font>
      <b/>
      <sz val="14"/>
      <color theme="1"/>
      <name val="Calibri"/>
      <family val="2"/>
      <scheme val="minor"/>
    </font>
    <font>
      <sz val="14"/>
      <color theme="1"/>
      <name val="Calibri"/>
      <family val="2"/>
      <scheme val="minor"/>
    </font>
    <font>
      <b/>
      <sz val="18"/>
      <color theme="1"/>
      <name val="Arial"/>
      <family val="2"/>
    </font>
    <font>
      <b/>
      <i/>
      <sz val="11"/>
      <color theme="1"/>
      <name val="Calibri"/>
      <family val="2"/>
      <scheme val="minor"/>
    </font>
    <font>
      <b/>
      <sz val="10"/>
      <color theme="1"/>
      <name val="Arial"/>
      <family val="2"/>
    </font>
    <font>
      <sz val="10"/>
      <color theme="1"/>
      <name val="Arial"/>
      <family val="2"/>
    </font>
    <font>
      <i/>
      <sz val="11"/>
      <color theme="1"/>
      <name val="Arial"/>
      <family val="2"/>
    </font>
    <font>
      <b/>
      <sz val="11"/>
      <color theme="1"/>
      <name val="Arial"/>
      <family val="2"/>
    </font>
    <font>
      <u/>
      <sz val="11"/>
      <color theme="10"/>
      <name val="Calibri"/>
      <family val="2"/>
      <scheme val="minor"/>
    </font>
    <font>
      <b/>
      <sz val="16"/>
      <color theme="1"/>
      <name val="Arial"/>
      <family val="2"/>
    </font>
    <font>
      <b/>
      <sz val="14"/>
      <name val="Arial"/>
      <family val="2"/>
    </font>
    <font>
      <sz val="16"/>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65"/>
        <bgColor indexed="64"/>
      </patternFill>
    </fill>
    <fill>
      <patternFill patternType="solid">
        <fgColor rgb="FFFF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172">
    <xf numFmtId="0" fontId="0" fillId="0" borderId="0" xfId="0"/>
    <xf numFmtId="0" fontId="0" fillId="0" borderId="0" xfId="0"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2" borderId="1" xfId="0" applyFont="1" applyFill="1" applyBorder="1" applyAlignment="1">
      <alignment horizontal="center" vertical="center"/>
    </xf>
    <xf numFmtId="0" fontId="8" fillId="0" borderId="0" xfId="0" applyFont="1" applyAlignment="1">
      <alignment horizontal="center"/>
    </xf>
    <xf numFmtId="0" fontId="10" fillId="0" borderId="5" xfId="0" applyFont="1" applyBorder="1" applyAlignment="1">
      <alignment horizontal="left" vertical="center"/>
    </xf>
    <xf numFmtId="0" fontId="6"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0" xfId="0" applyFont="1" applyFill="1" applyBorder="1" applyAlignment="1" applyProtection="1">
      <alignment horizontal="center" vertical="center"/>
      <protection locked="0"/>
    </xf>
    <xf numFmtId="0" fontId="12" fillId="0" borderId="0" xfId="0" applyFont="1" applyAlignment="1">
      <alignment horizontal="center"/>
    </xf>
    <xf numFmtId="0" fontId="13" fillId="0" borderId="0" xfId="0" applyFont="1" applyBorder="1"/>
    <xf numFmtId="0" fontId="0" fillId="0" borderId="0" xfId="0" applyAlignment="1">
      <alignment horizontal="right"/>
    </xf>
    <xf numFmtId="0" fontId="6" fillId="0" borderId="0" xfId="0" applyFont="1" applyAlignment="1">
      <alignment horizontal="right"/>
    </xf>
    <xf numFmtId="0" fontId="6" fillId="0" borderId="0" xfId="0" applyFont="1" applyAlignment="1">
      <alignment horizontal="center" vertical="center"/>
    </xf>
    <xf numFmtId="0" fontId="6" fillId="0" borderId="0" xfId="0" applyFont="1" applyBorder="1" applyAlignment="1">
      <alignment horizontal="left" vertical="top" wrapText="1"/>
    </xf>
    <xf numFmtId="0" fontId="3" fillId="0" borderId="0" xfId="0" applyFont="1" applyAlignment="1">
      <alignment horizontal="right"/>
    </xf>
    <xf numFmtId="0" fontId="3" fillId="0" borderId="0" xfId="0" applyFont="1"/>
    <xf numFmtId="0" fontId="6" fillId="0" borderId="1" xfId="0" applyFont="1" applyBorder="1" applyAlignment="1">
      <alignment horizontal="left"/>
    </xf>
    <xf numFmtId="0" fontId="15" fillId="0" borderId="0" xfId="0" applyFont="1"/>
    <xf numFmtId="0" fontId="11" fillId="0" borderId="0" xfId="0" applyFont="1"/>
    <xf numFmtId="0" fontId="16" fillId="0" borderId="0" xfId="0" applyFont="1" applyAlignment="1">
      <alignment horizontal="center"/>
    </xf>
    <xf numFmtId="0" fontId="17" fillId="0" borderId="0" xfId="0" applyFont="1"/>
    <xf numFmtId="0" fontId="10" fillId="2" borderId="1" xfId="0" applyFont="1" applyFill="1" applyBorder="1" applyAlignment="1">
      <alignment horizontal="left"/>
    </xf>
    <xf numFmtId="0" fontId="6"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0" fontId="10" fillId="0" borderId="0" xfId="0" applyFont="1" applyBorder="1" applyAlignment="1">
      <alignment horizontal="left" vertical="center"/>
    </xf>
    <xf numFmtId="0" fontId="8" fillId="0" borderId="5" xfId="0" applyFont="1" applyBorder="1" applyAlignment="1">
      <alignment horizontal="center" vertical="center"/>
    </xf>
    <xf numFmtId="164" fontId="2" fillId="2" borderId="1" xfId="0" applyNumberFormat="1" applyFont="1" applyFill="1" applyBorder="1" applyAlignment="1">
      <alignment horizontal="center" vertical="center"/>
    </xf>
    <xf numFmtId="0" fontId="10" fillId="0" borderId="0" xfId="0" applyFont="1" applyBorder="1" applyAlignment="1">
      <alignment horizontal="left" vertical="center"/>
    </xf>
    <xf numFmtId="0" fontId="8"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pplyFill="1" applyBorder="1" applyAlignment="1">
      <alignment horizontal="left"/>
    </xf>
    <xf numFmtId="0" fontId="20" fillId="0" borderId="0" xfId="1"/>
    <xf numFmtId="0" fontId="6" fillId="2" borderId="1" xfId="0" applyFont="1" applyFill="1" applyBorder="1" applyAlignment="1">
      <alignment horizontal="center" vertical="center" wrapText="1"/>
    </xf>
    <xf numFmtId="0" fontId="20" fillId="2" borderId="1" xfId="1" applyFill="1" applyBorder="1" applyAlignment="1">
      <alignment horizontal="center" vertical="center" wrapText="1"/>
    </xf>
    <xf numFmtId="0" fontId="0" fillId="0" borderId="0" xfId="0"/>
    <xf numFmtId="0" fontId="8" fillId="0" borderId="0" xfId="0" applyFont="1" applyAlignment="1">
      <alignment horizontal="center"/>
    </xf>
    <xf numFmtId="0" fontId="6"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3" borderId="0" xfId="0" applyFill="1" applyAlignment="1">
      <alignment wrapText="1"/>
    </xf>
    <xf numFmtId="0" fontId="7" fillId="3" borderId="5" xfId="0" applyFont="1" applyFill="1" applyBorder="1" applyAlignment="1">
      <alignment horizontal="center" vertical="center" wrapText="1"/>
    </xf>
    <xf numFmtId="2" fontId="7" fillId="3" borderId="5"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10" fillId="3" borderId="5" xfId="0" applyFont="1" applyFill="1" applyBorder="1" applyAlignment="1">
      <alignment horizontal="left" vertical="center"/>
    </xf>
    <xf numFmtId="0" fontId="6" fillId="2" borderId="1" xfId="0"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0" fillId="0" borderId="0" xfId="0" applyAlignment="1">
      <alignment wrapText="1"/>
    </xf>
    <xf numFmtId="0" fontId="4" fillId="2" borderId="1" xfId="0" applyFont="1" applyFill="1" applyBorder="1" applyAlignment="1" applyProtection="1">
      <alignment horizontal="center" vertical="center"/>
      <protection locked="0"/>
    </xf>
    <xf numFmtId="0" fontId="7" fillId="3" borderId="0" xfId="0" applyFont="1" applyFill="1" applyBorder="1" applyAlignment="1">
      <alignment horizontal="center" vertical="center" wrapText="1"/>
    </xf>
    <xf numFmtId="2" fontId="7" fillId="3" borderId="0" xfId="0"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10" fillId="0" borderId="0" xfId="0" applyFont="1" applyBorder="1" applyAlignment="1">
      <alignment horizontal="left" vertical="center" wrapText="1"/>
    </xf>
    <xf numFmtId="0" fontId="16" fillId="3" borderId="0" xfId="0" applyFont="1" applyFill="1" applyBorder="1" applyAlignment="1">
      <alignment horizontal="left" vertical="center" wrapText="1"/>
    </xf>
    <xf numFmtId="0" fontId="6"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xf>
    <xf numFmtId="0" fontId="6" fillId="5" borderId="1" xfId="0" applyFont="1" applyFill="1" applyBorder="1" applyAlignment="1" applyProtection="1">
      <alignment horizontal="center" vertical="center"/>
      <protection locked="0"/>
    </xf>
    <xf numFmtId="1" fontId="6" fillId="5" borderId="1" xfId="0" applyNumberFormat="1" applyFont="1" applyFill="1" applyBorder="1" applyAlignment="1" applyProtection="1">
      <alignment horizontal="center" vertical="center"/>
      <protection locked="0"/>
    </xf>
    <xf numFmtId="0" fontId="6" fillId="2"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0" fontId="10" fillId="4" borderId="0" xfId="0" applyFont="1" applyFill="1" applyBorder="1" applyAlignment="1">
      <alignment horizontal="left" vertical="center"/>
    </xf>
    <xf numFmtId="0" fontId="8" fillId="4" borderId="0" xfId="0" applyFont="1" applyFill="1" applyBorder="1" applyAlignment="1">
      <alignment horizontal="center" vertical="center"/>
    </xf>
    <xf numFmtId="2" fontId="6" fillId="2" borderId="6" xfId="0" applyNumberFormat="1" applyFont="1" applyFill="1" applyBorder="1" applyAlignment="1">
      <alignment horizontal="center" vertical="center" wrapText="1"/>
    </xf>
    <xf numFmtId="0" fontId="6" fillId="5" borderId="6" xfId="0" applyFont="1" applyFill="1" applyBorder="1" applyAlignment="1" applyProtection="1">
      <alignment horizontal="center" vertical="center"/>
      <protection locked="0"/>
    </xf>
    <xf numFmtId="0" fontId="6" fillId="0" borderId="0" xfId="0" applyFont="1" applyAlignment="1">
      <alignment horizontal="center"/>
    </xf>
    <xf numFmtId="0" fontId="19" fillId="0" borderId="1" xfId="0" applyFont="1" applyBorder="1" applyAlignment="1">
      <alignment horizontal="center" vertical="center" textRotation="90" wrapText="1"/>
    </xf>
    <xf numFmtId="0" fontId="19" fillId="0" borderId="3" xfId="0" applyFont="1" applyBorder="1" applyAlignment="1">
      <alignment horizontal="center" vertical="center" textRotation="90" wrapText="1"/>
    </xf>
    <xf numFmtId="2"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5" borderId="1" xfId="0" applyFont="1" applyFill="1" applyBorder="1" applyAlignment="1" applyProtection="1">
      <alignment horizontal="center" vertical="center"/>
      <protection locked="0"/>
    </xf>
    <xf numFmtId="0" fontId="19" fillId="0" borderId="1" xfId="0" applyFont="1" applyBorder="1" applyAlignment="1">
      <alignment horizontal="center" vertical="center" textRotation="90" wrapText="1"/>
    </xf>
    <xf numFmtId="0" fontId="6" fillId="5" borderId="2" xfId="0"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5" borderId="1" xfId="0" applyFont="1" applyFill="1" applyBorder="1" applyAlignment="1" applyProtection="1">
      <alignment horizontal="center" vertical="center"/>
      <protection locked="0"/>
    </xf>
    <xf numFmtId="0" fontId="6" fillId="2" borderId="2" xfId="0" applyFont="1" applyFill="1" applyBorder="1" applyAlignment="1">
      <alignment horizontal="center" vertical="center" wrapText="1"/>
    </xf>
    <xf numFmtId="2"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5" borderId="1" xfId="0" applyFont="1" applyFill="1" applyBorder="1" applyAlignment="1" applyProtection="1">
      <alignment horizontal="center" vertical="center"/>
      <protection locked="0"/>
    </xf>
    <xf numFmtId="0" fontId="6"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6" fillId="2" borderId="1" xfId="0" applyNumberFormat="1"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xf>
    <xf numFmtId="2"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5" borderId="1" xfId="0" applyFont="1" applyFill="1" applyBorder="1" applyAlignment="1" applyProtection="1">
      <alignment horizontal="center" vertical="center"/>
      <protection locked="0"/>
    </xf>
    <xf numFmtId="0" fontId="6" fillId="2" borderId="2" xfId="0" applyFont="1" applyFill="1" applyBorder="1" applyAlignment="1">
      <alignment horizontal="center" vertical="center" wrapText="1"/>
    </xf>
    <xf numFmtId="0" fontId="23" fillId="0" borderId="0" xfId="0" applyFont="1"/>
    <xf numFmtId="0" fontId="1"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center" vertic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1" xfId="0" applyFont="1" applyFill="1" applyBorder="1" applyAlignment="1">
      <alignment horizontal="center" wrapText="1"/>
    </xf>
    <xf numFmtId="0" fontId="10" fillId="2" borderId="1" xfId="0" applyFont="1" applyFill="1" applyBorder="1" applyAlignment="1">
      <alignment horizontal="center"/>
    </xf>
    <xf numFmtId="0" fontId="6" fillId="0" borderId="1" xfId="0" applyFont="1" applyBorder="1" applyAlignment="1">
      <alignment horizontal="center"/>
    </xf>
    <xf numFmtId="0" fontId="1" fillId="0" borderId="1" xfId="0" applyFont="1" applyBorder="1" applyAlignment="1">
      <alignment horizontal="center"/>
    </xf>
    <xf numFmtId="49" fontId="1" fillId="0" borderId="1" xfId="0" applyNumberFormat="1" applyFont="1" applyBorder="1" applyAlignment="1">
      <alignment horizontal="center"/>
    </xf>
    <xf numFmtId="49" fontId="6" fillId="0" borderId="2" xfId="0" applyNumberFormat="1" applyFont="1" applyBorder="1" applyAlignment="1">
      <alignment horizontal="center"/>
    </xf>
    <xf numFmtId="49" fontId="6" fillId="0" borderId="3" xfId="0" applyNumberFormat="1"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9" fillId="0" borderId="2" xfId="0" applyFont="1" applyBorder="1" applyAlignment="1">
      <alignment horizont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21" fillId="0" borderId="0" xfId="0" applyFont="1" applyAlignment="1">
      <alignment horizontal="center" wrapText="1"/>
    </xf>
    <xf numFmtId="0" fontId="22" fillId="5" borderId="5" xfId="0" applyFont="1" applyFill="1" applyBorder="1" applyAlignment="1" applyProtection="1">
      <alignment horizontal="left" vertical="center"/>
      <protection locked="0"/>
    </xf>
    <xf numFmtId="0" fontId="3" fillId="5" borderId="4" xfId="0" applyFont="1" applyFill="1" applyBorder="1" applyAlignment="1" applyProtection="1">
      <alignment horizontal="left" vertical="center"/>
      <protection locked="0"/>
    </xf>
    <xf numFmtId="0" fontId="19" fillId="0" borderId="1" xfId="0" applyFont="1" applyBorder="1" applyAlignment="1">
      <alignment horizontal="center" vertical="center" textRotation="90" wrapText="1"/>
    </xf>
    <xf numFmtId="0" fontId="19" fillId="0" borderId="6" xfId="0" applyFont="1" applyBorder="1" applyAlignment="1">
      <alignment horizontal="center" vertical="center" textRotation="90" wrapText="1"/>
    </xf>
    <xf numFmtId="0" fontId="19" fillId="0" borderId="8" xfId="0" applyFont="1" applyBorder="1" applyAlignment="1">
      <alignment horizontal="center" vertical="center" textRotation="90" wrapText="1"/>
    </xf>
    <xf numFmtId="0" fontId="19" fillId="0" borderId="7" xfId="0" applyFont="1" applyBorder="1" applyAlignment="1">
      <alignment horizontal="center" vertical="center" textRotation="90"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2"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14" fillId="0" borderId="0" xfId="0" applyFont="1" applyAlignment="1">
      <alignment horizont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0" fillId="0" borderId="0" xfId="0" applyFont="1" applyBorder="1" applyAlignment="1">
      <alignment horizontal="left"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6" fillId="5"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left" vertical="top" wrapText="1"/>
      <protection locked="0"/>
    </xf>
    <xf numFmtId="0" fontId="6" fillId="2" borderId="1" xfId="0" applyFont="1" applyFill="1" applyBorder="1" applyAlignment="1">
      <alignment horizontal="center" vertical="center"/>
    </xf>
    <xf numFmtId="1" fontId="6" fillId="5" borderId="1" xfId="0" applyNumberFormat="1" applyFont="1" applyFill="1" applyBorder="1" applyAlignment="1" applyProtection="1">
      <alignment horizontal="center" vertical="center"/>
      <protection locked="0"/>
    </xf>
    <xf numFmtId="2" fontId="6" fillId="2" borderId="6" xfId="0" applyNumberFormat="1" applyFont="1" applyFill="1" applyBorder="1" applyAlignment="1">
      <alignment horizontal="center" vertical="center" wrapText="1"/>
    </xf>
    <xf numFmtId="2" fontId="6" fillId="2" borderId="7" xfId="0" applyNumberFormat="1" applyFont="1" applyFill="1" applyBorder="1" applyAlignment="1">
      <alignment horizontal="center" vertical="center" wrapText="1"/>
    </xf>
    <xf numFmtId="0" fontId="19" fillId="0"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Fill="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6"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3" xfId="0"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10" fillId="4" borderId="4" xfId="0" applyFont="1" applyFill="1" applyBorder="1" applyAlignment="1">
      <alignment horizontal="left" vertical="center"/>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0" borderId="0" xfId="0" applyFont="1" applyBorder="1" applyAlignment="1">
      <alignment horizontal="center" vertical="center"/>
    </xf>
    <xf numFmtId="0" fontId="5" fillId="3" borderId="0" xfId="0" applyFont="1" applyFill="1" applyBorder="1" applyAlignment="1">
      <alignment horizontal="center" vertical="center" wrapText="1"/>
    </xf>
    <xf numFmtId="0" fontId="5" fillId="3" borderId="5"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2" fillId="3" borderId="4" xfId="0" applyFont="1" applyFill="1" applyBorder="1" applyAlignment="1">
      <alignment horizontal="center" vertical="center"/>
    </xf>
    <xf numFmtId="0" fontId="8" fillId="0" borderId="5" xfId="0" applyFont="1" applyBorder="1" applyAlignment="1">
      <alignment horizontal="center" vertical="center"/>
    </xf>
    <xf numFmtId="0" fontId="2" fillId="0" borderId="0" xfId="0" applyFont="1" applyBorder="1" applyAlignment="1">
      <alignment horizontal="center" vertical="center" wrapText="1"/>
    </xf>
    <xf numFmtId="0" fontId="12" fillId="3" borderId="5" xfId="0" applyFont="1" applyFill="1" applyBorder="1" applyAlignment="1">
      <alignment horizontal="center" vertical="center"/>
    </xf>
    <xf numFmtId="0" fontId="12" fillId="3" borderId="1" xfId="0" applyFont="1" applyFill="1" applyBorder="1" applyAlignment="1">
      <alignment horizontal="center" vertical="center"/>
    </xf>
    <xf numFmtId="0" fontId="19" fillId="0" borderId="9" xfId="0" applyFont="1" applyBorder="1" applyAlignment="1">
      <alignment horizontal="center" vertical="center" textRotation="90" wrapText="1"/>
    </xf>
    <xf numFmtId="0" fontId="19" fillId="0" borderId="10" xfId="0" applyFont="1" applyBorder="1" applyAlignment="1">
      <alignment horizontal="center" vertical="center" textRotation="90" wrapText="1"/>
    </xf>
  </cellXfs>
  <cellStyles count="2">
    <cellStyle name="Hyperlink" xfId="1" builtinId="8"/>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405939</xdr:colOff>
      <xdr:row>13</xdr:row>
      <xdr:rowOff>24937</xdr:rowOff>
    </xdr:from>
    <xdr:to>
      <xdr:col>5</xdr:col>
      <xdr:colOff>1056411</xdr:colOff>
      <xdr:row>13</xdr:row>
      <xdr:rowOff>2336748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7979" y="6212377"/>
          <a:ext cx="5992092" cy="23118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ws.usace.army.mil/Missions/Civil-Works/Regulatory/Permit-Guidebook/RGP/" TargetMode="External"/><Relationship Id="rId2" Type="http://schemas.openxmlformats.org/officeDocument/2006/relationships/hyperlink" Target="https://fortress.wa.gov/ecy/coastalatlas/tools/Map.aspx" TargetMode="External"/><Relationship Id="rId1" Type="http://schemas.openxmlformats.org/officeDocument/2006/relationships/printerSettings" Target="../printerSettings/printerSettings3.bin"/><Relationship Id="rId6" Type="http://schemas.openxmlformats.org/officeDocument/2006/relationships/printerSettings" Target="../printerSettings/printerSettings4.bin"/><Relationship Id="rId5" Type="http://schemas.openxmlformats.org/officeDocument/2006/relationships/hyperlink" Target="http://wdfw.wa.gov/conservation/research/projects/marine_beach_spawning/" TargetMode="External"/><Relationship Id="rId4" Type="http://schemas.openxmlformats.org/officeDocument/2006/relationships/hyperlink" Target="http://wdfw.wa.gov/conservation/research/projects/marine_beach_spawnin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nws.usace.army.mil/Missions/Civil-Works/Regulatory/Permit-Guidebook/RGP/" TargetMode="External"/><Relationship Id="rId2" Type="http://schemas.openxmlformats.org/officeDocument/2006/relationships/hyperlink" Target="https://fortress.wa.gov/ecy/coastalatlas/tools/Map.aspx" TargetMode="External"/><Relationship Id="rId1" Type="http://schemas.openxmlformats.org/officeDocument/2006/relationships/printerSettings" Target="../printerSettings/printerSettings5.bin"/><Relationship Id="rId5" Type="http://schemas.openxmlformats.org/officeDocument/2006/relationships/drawing" Target="../drawings/drawing1.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abSelected="1" view="pageLayout" zoomScaleNormal="100" zoomScaleSheetLayoutView="100" workbookViewId="0">
      <selection activeCell="A5" sqref="A5:E5"/>
    </sheetView>
  </sheetViews>
  <sheetFormatPr defaultRowHeight="15" x14ac:dyDescent="0.25"/>
  <cols>
    <col min="1" max="1" width="35.85546875" customWidth="1"/>
    <col min="2" max="2" width="18.7109375" customWidth="1"/>
    <col min="3" max="3" width="7.85546875" style="1" customWidth="1"/>
    <col min="4" max="4" width="20.42578125" style="1" customWidth="1"/>
    <col min="5" max="5" width="15.42578125" customWidth="1"/>
  </cols>
  <sheetData>
    <row r="1" spans="1:5" s="18" customFormat="1" ht="18" x14ac:dyDescent="0.25">
      <c r="A1" s="17" t="s">
        <v>34</v>
      </c>
      <c r="B1" s="116"/>
      <c r="C1" s="116"/>
      <c r="D1" s="116"/>
    </row>
    <row r="2" spans="1:5" s="18" customFormat="1" ht="18" x14ac:dyDescent="0.25">
      <c r="A2" s="17" t="s">
        <v>35</v>
      </c>
      <c r="B2" s="117"/>
      <c r="C2" s="117"/>
      <c r="D2" s="117"/>
    </row>
    <row r="3" spans="1:5" s="18" customFormat="1" ht="18" x14ac:dyDescent="0.25">
      <c r="A3" s="17" t="s">
        <v>180</v>
      </c>
      <c r="B3" s="117"/>
      <c r="C3" s="117"/>
      <c r="D3" s="117"/>
    </row>
    <row r="4" spans="1:5" s="23" customFormat="1" ht="6" customHeight="1" x14ac:dyDescent="0.2">
      <c r="A4" s="22"/>
      <c r="B4" s="22"/>
      <c r="C4" s="22"/>
      <c r="D4" s="22"/>
    </row>
    <row r="5" spans="1:5" s="18" customFormat="1" ht="48" customHeight="1" x14ac:dyDescent="0.3">
      <c r="A5" s="115" t="s">
        <v>129</v>
      </c>
      <c r="B5" s="115"/>
      <c r="C5" s="115"/>
      <c r="D5" s="115"/>
      <c r="E5" s="115"/>
    </row>
    <row r="6" spans="1:5" s="23" customFormat="1" ht="12.75" x14ac:dyDescent="0.2">
      <c r="A6" s="22"/>
      <c r="B6" s="22"/>
      <c r="C6" s="22"/>
      <c r="D6" s="22"/>
    </row>
    <row r="7" spans="1:5" s="18" customFormat="1" ht="180.75" customHeight="1" x14ac:dyDescent="0.25">
      <c r="A7" s="99" t="s">
        <v>165</v>
      </c>
      <c r="B7" s="99"/>
      <c r="C7" s="99"/>
      <c r="D7" s="99"/>
      <c r="E7" s="99"/>
    </row>
    <row r="8" spans="1:5" ht="15.75" x14ac:dyDescent="0.25">
      <c r="A8" s="13"/>
      <c r="B8" s="14"/>
      <c r="C8" s="15"/>
      <c r="D8" s="15" t="s">
        <v>24</v>
      </c>
      <c r="E8" s="72" t="s">
        <v>58</v>
      </c>
    </row>
    <row r="9" spans="1:5" ht="41.25" customHeight="1" x14ac:dyDescent="0.25">
      <c r="A9" s="112" t="s">
        <v>66</v>
      </c>
      <c r="B9" s="113"/>
      <c r="C9" s="114"/>
      <c r="D9" s="27">
        <f>'Required Mitigation'!E53</f>
        <v>0</v>
      </c>
      <c r="E9" s="30">
        <f>D9/100</f>
        <v>0</v>
      </c>
    </row>
    <row r="10" spans="1:5" ht="41.25" customHeight="1" x14ac:dyDescent="0.25">
      <c r="A10" s="112" t="s">
        <v>67</v>
      </c>
      <c r="B10" s="113"/>
      <c r="C10" s="114"/>
      <c r="D10" s="27">
        <f>'Proposed Mitigation'!F80</f>
        <v>0</v>
      </c>
      <c r="E10" s="30">
        <f>D10/100</f>
        <v>0</v>
      </c>
    </row>
    <row r="11" spans="1:5" ht="41.25" customHeight="1" x14ac:dyDescent="0.25">
      <c r="A11" s="112" t="s">
        <v>38</v>
      </c>
      <c r="B11" s="113"/>
      <c r="C11" s="114"/>
      <c r="D11" s="27">
        <f>IF((D9-D10)&lt;0,0,(D9-D10))</f>
        <v>0</v>
      </c>
      <c r="E11" s="30">
        <f>D11/100</f>
        <v>0</v>
      </c>
    </row>
    <row r="12" spans="1:5" x14ac:dyDescent="0.25">
      <c r="C12"/>
      <c r="D12"/>
    </row>
    <row r="13" spans="1:5" s="21" customFormat="1" ht="15.75" x14ac:dyDescent="0.25">
      <c r="A13" s="24" t="s">
        <v>39</v>
      </c>
      <c r="B13" s="103" t="s">
        <v>52</v>
      </c>
      <c r="C13" s="103"/>
      <c r="D13" s="103"/>
      <c r="E13" s="103"/>
    </row>
    <row r="14" spans="1:5" s="6" customFormat="1" ht="15.75" x14ac:dyDescent="0.25">
      <c r="A14" s="19" t="s">
        <v>40</v>
      </c>
      <c r="B14" s="104" t="s">
        <v>44</v>
      </c>
      <c r="C14" s="104"/>
      <c r="D14" s="104"/>
      <c r="E14" s="104"/>
    </row>
    <row r="15" spans="1:5" ht="15.75" x14ac:dyDescent="0.25">
      <c r="A15" s="19" t="s">
        <v>42</v>
      </c>
      <c r="B15" s="105" t="s">
        <v>45</v>
      </c>
      <c r="C15" s="105"/>
      <c r="D15" s="105"/>
      <c r="E15" s="105"/>
    </row>
    <row r="16" spans="1:5" ht="15.75" x14ac:dyDescent="0.25">
      <c r="A16" s="19" t="s">
        <v>41</v>
      </c>
      <c r="B16" s="106" t="s">
        <v>87</v>
      </c>
      <c r="C16" s="106"/>
      <c r="D16" s="106"/>
      <c r="E16" s="106"/>
    </row>
    <row r="17" spans="1:7" ht="15.75" x14ac:dyDescent="0.25">
      <c r="A17" s="19" t="s">
        <v>43</v>
      </c>
      <c r="B17" s="106" t="s">
        <v>46</v>
      </c>
      <c r="C17" s="106"/>
      <c r="D17" s="106"/>
      <c r="E17" s="106"/>
    </row>
    <row r="18" spans="1:7" x14ac:dyDescent="0.25">
      <c r="C18"/>
      <c r="D18"/>
    </row>
    <row r="19" spans="1:7" ht="15.75" x14ac:dyDescent="0.25">
      <c r="A19" s="34" t="s">
        <v>73</v>
      </c>
      <c r="C19"/>
      <c r="D19"/>
    </row>
    <row r="20" spans="1:7" s="20" customFormat="1" ht="48" customHeight="1" x14ac:dyDescent="0.25">
      <c r="A20" s="24" t="s">
        <v>47</v>
      </c>
      <c r="B20" s="100" t="s">
        <v>59</v>
      </c>
      <c r="C20" s="101"/>
      <c r="D20" s="102" t="s">
        <v>88</v>
      </c>
      <c r="E20" s="102"/>
      <c r="F20"/>
      <c r="G20"/>
    </row>
    <row r="21" spans="1:7" ht="15.75" x14ac:dyDescent="0.25">
      <c r="A21" s="19" t="s">
        <v>48</v>
      </c>
      <c r="B21" s="111" t="s">
        <v>55</v>
      </c>
      <c r="C21" s="110"/>
      <c r="D21" s="109" t="s">
        <v>53</v>
      </c>
      <c r="E21" s="110"/>
    </row>
    <row r="22" spans="1:7" ht="30" customHeight="1" x14ac:dyDescent="0.25">
      <c r="A22" s="19" t="s">
        <v>49</v>
      </c>
      <c r="B22" s="109" t="s">
        <v>62</v>
      </c>
      <c r="C22" s="110"/>
      <c r="D22" s="109" t="s">
        <v>63</v>
      </c>
      <c r="E22" s="110"/>
    </row>
    <row r="23" spans="1:7" ht="15.75" x14ac:dyDescent="0.25">
      <c r="A23" s="19" t="s">
        <v>50</v>
      </c>
      <c r="B23" s="107" t="s">
        <v>61</v>
      </c>
      <c r="C23" s="108"/>
      <c r="D23" s="109" t="s">
        <v>64</v>
      </c>
      <c r="E23" s="110"/>
    </row>
    <row r="24" spans="1:7" ht="15.75" x14ac:dyDescent="0.25">
      <c r="A24" s="19" t="s">
        <v>51</v>
      </c>
      <c r="B24" s="107" t="s">
        <v>60</v>
      </c>
      <c r="C24" s="108"/>
      <c r="D24" s="107" t="s">
        <v>65</v>
      </c>
      <c r="E24" s="108"/>
    </row>
    <row r="26" spans="1:7" x14ac:dyDescent="0.25">
      <c r="A26" s="97" t="s">
        <v>164</v>
      </c>
      <c r="B26" s="97"/>
      <c r="C26" s="97"/>
      <c r="D26" s="97"/>
      <c r="E26" s="97"/>
    </row>
    <row r="27" spans="1:7" ht="26.25" customHeight="1" x14ac:dyDescent="0.25">
      <c r="A27" s="97"/>
      <c r="B27" s="97"/>
      <c r="C27" s="97"/>
      <c r="D27" s="97"/>
      <c r="E27" s="97"/>
    </row>
    <row r="28" spans="1:7" x14ac:dyDescent="0.25">
      <c r="A28" s="1"/>
      <c r="C28"/>
      <c r="D28"/>
    </row>
    <row r="29" spans="1:7" ht="37.5" customHeight="1" x14ac:dyDescent="0.25">
      <c r="A29" s="97" t="s">
        <v>74</v>
      </c>
      <c r="B29" s="97"/>
      <c r="C29" s="97"/>
      <c r="D29" s="97"/>
      <c r="E29" s="97"/>
    </row>
    <row r="30" spans="1:7" ht="41.25" customHeight="1" x14ac:dyDescent="0.25">
      <c r="A30" s="98"/>
      <c r="B30" s="98"/>
      <c r="C30" s="98"/>
      <c r="D30" s="98"/>
      <c r="E30" s="98"/>
    </row>
    <row r="31" spans="1:7" x14ac:dyDescent="0.25">
      <c r="A31" s="1"/>
      <c r="C31"/>
      <c r="D31"/>
    </row>
  </sheetData>
  <sheetProtection algorithmName="SHA-512" hashValue="sGeMUGD+yfrOitgzoirOz/WpkRt/APUP/GQZ1QmUHGMjQGc5M5CRtW54+ipxZzCJXEhm78sdA2vpRZcA+8lmtg==" saltValue="x05qamjmE+wgfLOLRKhALg==" spinCount="100000" sheet="1" objects="1" scenarios="1"/>
  <customSheetViews>
    <customSheetView guid="{36CC4794-C273-4B81-9A7D-2317288926D0}" showPageBreaks="1">
      <selection activeCell="C1" sqref="C1:D1"/>
      <pageMargins left="0.7" right="0.7" top="0.75" bottom="0.75" header="0.3" footer="0.3"/>
      <pageSetup orientation="portrait" horizontalDpi="1200" verticalDpi="1200" r:id="rId1"/>
    </customSheetView>
  </customSheetViews>
  <mergeCells count="26">
    <mergeCell ref="A5:E5"/>
    <mergeCell ref="B1:D1"/>
    <mergeCell ref="B2:D2"/>
    <mergeCell ref="B3:D3"/>
    <mergeCell ref="B22:C22"/>
    <mergeCell ref="D21:E21"/>
    <mergeCell ref="D22:E22"/>
    <mergeCell ref="A10:C10"/>
    <mergeCell ref="A9:C9"/>
    <mergeCell ref="A11:C11"/>
    <mergeCell ref="A26:E27"/>
    <mergeCell ref="A29:E29"/>
    <mergeCell ref="A30:E30"/>
    <mergeCell ref="A7:E7"/>
    <mergeCell ref="B20:C20"/>
    <mergeCell ref="D20:E20"/>
    <mergeCell ref="B13:E13"/>
    <mergeCell ref="B14:E14"/>
    <mergeCell ref="B15:E15"/>
    <mergeCell ref="B16:E16"/>
    <mergeCell ref="B17:E17"/>
    <mergeCell ref="B23:C23"/>
    <mergeCell ref="D23:E23"/>
    <mergeCell ref="B24:C24"/>
    <mergeCell ref="D24:E24"/>
    <mergeCell ref="B21:C21"/>
  </mergeCells>
  <pageMargins left="0.7" right="0.7" top="0.75" bottom="0.75" header="0.3" footer="0.3"/>
  <pageSetup scale="85" orientation="portrait" horizontalDpi="1200" verticalDpi="1200" r:id="rId2"/>
  <headerFooter>
    <oddHeader>&amp;R&amp;"-,Bold"Version: 08/27/2018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61"/>
  <sheetViews>
    <sheetView view="pageLayout" topLeftCell="B55" zoomScale="115" zoomScaleNormal="100" zoomScalePageLayoutView="115" workbookViewId="0">
      <selection activeCell="A36" sqref="A36:XFD36"/>
    </sheetView>
  </sheetViews>
  <sheetFormatPr defaultRowHeight="15" x14ac:dyDescent="0.25"/>
  <cols>
    <col min="1" max="1" width="9.140625" style="38"/>
    <col min="2" max="2" width="43.140625" customWidth="1"/>
    <col min="3" max="3" width="18.7109375" customWidth="1"/>
    <col min="4" max="4" width="15.28515625" style="1" customWidth="1"/>
    <col min="5" max="5" width="18.140625" style="1" customWidth="1"/>
    <col min="6" max="6" width="29.85546875" customWidth="1"/>
  </cols>
  <sheetData>
    <row r="1" spans="1:5" s="18" customFormat="1" ht="23.25" x14ac:dyDescent="0.35">
      <c r="B1" s="127" t="s">
        <v>127</v>
      </c>
      <c r="C1" s="127"/>
      <c r="D1" s="127"/>
      <c r="E1" s="127"/>
    </row>
    <row r="2" spans="1:5" ht="15.75" x14ac:dyDescent="0.25">
      <c r="B2" s="13"/>
      <c r="C2" s="14"/>
      <c r="D2" s="15"/>
      <c r="E2" s="15"/>
    </row>
    <row r="3" spans="1:5" ht="15.75" x14ac:dyDescent="0.25">
      <c r="B3" s="126" t="s">
        <v>22</v>
      </c>
      <c r="C3" s="126"/>
      <c r="D3" s="126"/>
      <c r="E3" s="126"/>
    </row>
    <row r="4" spans="1:5" ht="76.5" customHeight="1" x14ac:dyDescent="0.25">
      <c r="A4" s="135"/>
      <c r="B4" s="135"/>
      <c r="C4" s="135"/>
      <c r="D4" s="135"/>
      <c r="E4" s="135"/>
    </row>
    <row r="5" spans="1:5" x14ac:dyDescent="0.25">
      <c r="B5" s="16"/>
      <c r="C5" s="16"/>
      <c r="D5" s="16"/>
      <c r="E5" s="16"/>
    </row>
    <row r="6" spans="1:5" s="2" customFormat="1" ht="42" x14ac:dyDescent="0.35">
      <c r="B6" s="3" t="s">
        <v>23</v>
      </c>
      <c r="C6" s="3" t="s">
        <v>5</v>
      </c>
      <c r="D6" s="3" t="s">
        <v>1</v>
      </c>
      <c r="E6" s="4" t="s">
        <v>24</v>
      </c>
    </row>
    <row r="7" spans="1:5" s="11" customFormat="1" ht="18.75" x14ac:dyDescent="0.3">
      <c r="B7" s="133" t="s">
        <v>25</v>
      </c>
      <c r="C7" s="133"/>
      <c r="D7" s="133"/>
      <c r="E7" s="133"/>
    </row>
    <row r="8" spans="1:5" ht="99.6" customHeight="1" x14ac:dyDescent="0.25">
      <c r="A8" s="73" t="s">
        <v>142</v>
      </c>
      <c r="B8" s="58" t="s">
        <v>124</v>
      </c>
      <c r="C8" s="25" t="s">
        <v>26</v>
      </c>
      <c r="D8" s="77"/>
      <c r="E8" s="26">
        <f>(1.45*D8)/100</f>
        <v>0</v>
      </c>
    </row>
    <row r="9" spans="1:5" s="11" customFormat="1" ht="12.75" customHeight="1" x14ac:dyDescent="0.3">
      <c r="B9" s="132"/>
      <c r="C9" s="132"/>
      <c r="D9" s="132"/>
      <c r="E9" s="132"/>
    </row>
    <row r="10" spans="1:5" s="11" customFormat="1" ht="18.75" x14ac:dyDescent="0.3">
      <c r="B10" s="132" t="s">
        <v>27</v>
      </c>
      <c r="C10" s="132"/>
      <c r="D10" s="132"/>
      <c r="E10" s="132"/>
    </row>
    <row r="11" spans="1:5" s="6" customFormat="1" ht="15.75" x14ac:dyDescent="0.25">
      <c r="A11" s="39"/>
      <c r="B11" s="47" t="s">
        <v>84</v>
      </c>
      <c r="C11" s="29"/>
      <c r="D11" s="29"/>
      <c r="E11" s="29"/>
    </row>
    <row r="12" spans="1:5" ht="54" customHeight="1" x14ac:dyDescent="0.25">
      <c r="A12" s="118" t="s">
        <v>138</v>
      </c>
      <c r="B12" s="58" t="s">
        <v>90</v>
      </c>
      <c r="C12" s="60" t="s">
        <v>28</v>
      </c>
      <c r="D12" s="64"/>
      <c r="E12" s="60">
        <f>IF(AND(D13="Yes",D14="Yes"),((D12*0.4/100)+0.1)*1.5,0)</f>
        <v>0</v>
      </c>
    </row>
    <row r="13" spans="1:5" s="38" customFormat="1" ht="54" customHeight="1" x14ac:dyDescent="0.25">
      <c r="A13" s="118"/>
      <c r="B13" s="58" t="s">
        <v>121</v>
      </c>
      <c r="C13" s="60" t="s">
        <v>33</v>
      </c>
      <c r="D13" s="64"/>
      <c r="E13" s="60" t="s">
        <v>55</v>
      </c>
    </row>
    <row r="14" spans="1:5" s="38" customFormat="1" ht="54" customHeight="1" x14ac:dyDescent="0.25">
      <c r="A14" s="118"/>
      <c r="B14" s="58" t="s">
        <v>122</v>
      </c>
      <c r="C14" s="60" t="s">
        <v>33</v>
      </c>
      <c r="D14" s="64"/>
      <c r="E14" s="60" t="s">
        <v>55</v>
      </c>
    </row>
    <row r="15" spans="1:5" ht="43.15" customHeight="1" x14ac:dyDescent="0.25">
      <c r="A15" s="118" t="s">
        <v>135</v>
      </c>
      <c r="B15" s="125" t="s">
        <v>119</v>
      </c>
      <c r="C15" s="61" t="s">
        <v>28</v>
      </c>
      <c r="D15" s="64"/>
      <c r="E15" s="124">
        <f>IF(D15=0,0,(1.7*D15)/100 +0.2+D16/2)</f>
        <v>0</v>
      </c>
    </row>
    <row r="16" spans="1:5" ht="37.15" customHeight="1" x14ac:dyDescent="0.25">
      <c r="A16" s="118"/>
      <c r="B16" s="125"/>
      <c r="C16" s="62" t="s">
        <v>134</v>
      </c>
      <c r="D16" s="64"/>
      <c r="E16" s="124"/>
    </row>
    <row r="17" spans="1:6" ht="43.5" customHeight="1" x14ac:dyDescent="0.25">
      <c r="A17" s="118" t="s">
        <v>136</v>
      </c>
      <c r="B17" s="125" t="s">
        <v>130</v>
      </c>
      <c r="C17" s="62" t="s">
        <v>68</v>
      </c>
      <c r="D17" s="64"/>
      <c r="E17" s="124">
        <f>IF(D17=0,0,(3*D17)/100 +0.2+D18/2)</f>
        <v>0</v>
      </c>
    </row>
    <row r="18" spans="1:6" s="38" customFormat="1" ht="61.5" customHeight="1" x14ac:dyDescent="0.25">
      <c r="A18" s="118"/>
      <c r="B18" s="125"/>
      <c r="C18" s="62" t="s">
        <v>134</v>
      </c>
      <c r="D18" s="64"/>
      <c r="E18" s="124"/>
    </row>
    <row r="19" spans="1:6" s="6" customFormat="1" ht="15.75" x14ac:dyDescent="0.25">
      <c r="A19" s="39"/>
      <c r="B19" s="40"/>
      <c r="C19" s="41"/>
      <c r="D19" s="10"/>
      <c r="E19" s="41"/>
    </row>
    <row r="20" spans="1:6" ht="27" customHeight="1" x14ac:dyDescent="0.25">
      <c r="B20" s="7" t="s">
        <v>120</v>
      </c>
      <c r="C20" s="29"/>
      <c r="D20" s="29"/>
      <c r="E20" s="29"/>
      <c r="F20" s="38"/>
    </row>
    <row r="21" spans="1:6" ht="59.45" customHeight="1" x14ac:dyDescent="0.25">
      <c r="A21" s="118" t="s">
        <v>139</v>
      </c>
      <c r="B21" s="58" t="s">
        <v>159</v>
      </c>
      <c r="C21" s="136" t="s">
        <v>33</v>
      </c>
      <c r="D21" s="134"/>
      <c r="E21" s="124">
        <f>IF(D21="Yes",(E15+E17)*0.5,0)</f>
        <v>0</v>
      </c>
    </row>
    <row r="22" spans="1:6" x14ac:dyDescent="0.25">
      <c r="A22" s="118"/>
      <c r="B22" s="37" t="s">
        <v>77</v>
      </c>
      <c r="C22" s="136"/>
      <c r="D22" s="134"/>
      <c r="E22" s="124"/>
    </row>
    <row r="23" spans="1:6" s="6" customFormat="1" ht="9.6" customHeight="1" x14ac:dyDescent="0.25">
      <c r="A23" s="39"/>
      <c r="B23" s="8"/>
      <c r="C23" s="9"/>
      <c r="D23" s="10"/>
      <c r="E23" s="9"/>
    </row>
    <row r="24" spans="1:6" s="6" customFormat="1" ht="18.75" x14ac:dyDescent="0.25">
      <c r="A24" s="39"/>
      <c r="B24" s="132" t="s">
        <v>29</v>
      </c>
      <c r="C24" s="132"/>
      <c r="D24" s="132"/>
      <c r="E24" s="132"/>
    </row>
    <row r="25" spans="1:6" s="6" customFormat="1" ht="58.5" customHeight="1" x14ac:dyDescent="0.25">
      <c r="A25" s="73" t="s">
        <v>140</v>
      </c>
      <c r="B25" s="33" t="s">
        <v>69</v>
      </c>
      <c r="C25" s="33" t="s">
        <v>54</v>
      </c>
      <c r="D25" s="64"/>
      <c r="E25" s="49" t="s">
        <v>55</v>
      </c>
    </row>
    <row r="26" spans="1:6" s="39" customFormat="1" ht="9.6" customHeight="1" x14ac:dyDescent="0.25">
      <c r="B26" s="40"/>
      <c r="C26" s="41"/>
      <c r="D26" s="10"/>
      <c r="E26" s="41"/>
    </row>
    <row r="27" spans="1:6" s="6" customFormat="1" ht="14.45" customHeight="1" x14ac:dyDescent="0.25">
      <c r="A27" s="39"/>
      <c r="B27" s="31" t="s">
        <v>30</v>
      </c>
      <c r="C27" s="32"/>
      <c r="D27" s="32"/>
      <c r="E27" s="32"/>
    </row>
    <row r="28" spans="1:6" ht="78.75" customHeight="1" x14ac:dyDescent="0.25">
      <c r="A28" s="73" t="s">
        <v>137</v>
      </c>
      <c r="B28" s="25" t="s">
        <v>89</v>
      </c>
      <c r="C28" s="5" t="s">
        <v>28</v>
      </c>
      <c r="D28" s="64"/>
      <c r="E28" s="26">
        <f>IF(D28=0,0,(IF(D25=3,((D28/100)+0.2),(0))))</f>
        <v>0</v>
      </c>
    </row>
    <row r="29" spans="1:6" ht="35.450000000000003" customHeight="1" x14ac:dyDescent="0.25">
      <c r="A29" s="118" t="s">
        <v>135</v>
      </c>
      <c r="B29" s="122" t="s">
        <v>116</v>
      </c>
      <c r="C29" s="61" t="s">
        <v>28</v>
      </c>
      <c r="D29" s="64"/>
      <c r="E29" s="124">
        <f>IF(D29=0,0,(IF(D25=0,(1.5*(D29/100)+0.3)+D30/2,IF(D25=1,(2.5*(D29/100)+0.2)+D30/2,IF(D25=2,(3.3*(D29/100)+0.5)+D30/2,IF(D25=3,(4.3*(D29/100)+0.5)+D30/2,(0)))))))</f>
        <v>0</v>
      </c>
    </row>
    <row r="30" spans="1:6" s="38" customFormat="1" ht="65.45" customHeight="1" x14ac:dyDescent="0.25">
      <c r="A30" s="118"/>
      <c r="B30" s="123"/>
      <c r="C30" s="62" t="s">
        <v>132</v>
      </c>
      <c r="D30" s="64"/>
      <c r="E30" s="124"/>
    </row>
    <row r="31" spans="1:6" s="38" customFormat="1" ht="29.45" customHeight="1" x14ac:dyDescent="0.25">
      <c r="A31" s="118" t="s">
        <v>136</v>
      </c>
      <c r="B31" s="122" t="s">
        <v>131</v>
      </c>
      <c r="C31" s="62" t="s">
        <v>68</v>
      </c>
      <c r="D31" s="64"/>
      <c r="E31" s="138">
        <f>IF(D31=0,0,(IF(D25=0,(2.6*(D31/100)+0.3)+D32/2,IF(D25=1,(4.3*(D31/100)+0.2)+D32/2,IF(D25=2,(5.9*(D31/100)+0.2)+D32/2,IF(D25=3,"no solid piers in eelgrass",(0)))))))</f>
        <v>0</v>
      </c>
    </row>
    <row r="32" spans="1:6" ht="78.75" customHeight="1" x14ac:dyDescent="0.25">
      <c r="A32" s="118"/>
      <c r="B32" s="123"/>
      <c r="C32" s="62" t="s">
        <v>133</v>
      </c>
      <c r="D32" s="64"/>
      <c r="E32" s="139"/>
    </row>
    <row r="33" spans="1:5" s="39" customFormat="1" ht="9.6" customHeight="1" x14ac:dyDescent="0.25">
      <c r="B33" s="40"/>
      <c r="C33" s="41"/>
      <c r="D33" s="10"/>
      <c r="E33" s="41"/>
    </row>
    <row r="34" spans="1:5" ht="10.5" customHeight="1" x14ac:dyDescent="0.25">
      <c r="B34" s="131" t="s">
        <v>0</v>
      </c>
      <c r="C34" s="131"/>
      <c r="D34" s="131"/>
      <c r="E34" s="131"/>
    </row>
    <row r="35" spans="1:5" ht="66.75" customHeight="1" x14ac:dyDescent="0.25">
      <c r="A35" s="73" t="s">
        <v>141</v>
      </c>
      <c r="B35" s="46" t="s">
        <v>92</v>
      </c>
      <c r="C35" s="25" t="s">
        <v>28</v>
      </c>
      <c r="D35" s="64"/>
      <c r="E35" s="26">
        <f>IF(D35=0,0,(IF(D25=0,(3.5*(D35/100)+7.2),IF(D25=1,(4.8*(D35/100)+8.9),IF(D25=2,(6.1*(D35/100)+10.6),IF(D25=3,(7.4*(D35/100)+12.3),(0)))))))</f>
        <v>0</v>
      </c>
    </row>
    <row r="36" spans="1:5" s="39" customFormat="1" ht="9.6" customHeight="1" x14ac:dyDescent="0.25">
      <c r="B36" s="40"/>
      <c r="C36" s="41"/>
      <c r="D36" s="10"/>
      <c r="E36" s="41"/>
    </row>
    <row r="37" spans="1:5" ht="10.5" customHeight="1" x14ac:dyDescent="0.25">
      <c r="B37" s="131" t="s">
        <v>31</v>
      </c>
      <c r="C37" s="131"/>
      <c r="D37" s="131"/>
      <c r="E37" s="131"/>
    </row>
    <row r="38" spans="1:5" ht="71.25" customHeight="1" x14ac:dyDescent="0.25">
      <c r="A38" s="78" t="s">
        <v>141</v>
      </c>
      <c r="B38" s="58" t="s">
        <v>118</v>
      </c>
      <c r="C38" s="58" t="s">
        <v>123</v>
      </c>
      <c r="D38" s="64"/>
      <c r="E38" s="26">
        <f>IF(D38=0,0,IF(D25=0,(2.2*(D38/100)+2.7),IF(D25=1,(3.5*(D38/100)+4.5),IF(D25=2,(4.9*(D38/100)+6.2),IF(D25=3,(6.3*(D38/100)+7.9),(0))))))</f>
        <v>0</v>
      </c>
    </row>
    <row r="39" spans="1:5" x14ac:dyDescent="0.25">
      <c r="B39" s="8"/>
      <c r="C39" s="9"/>
      <c r="D39" s="10"/>
      <c r="E39" s="9"/>
    </row>
    <row r="40" spans="1:5" x14ac:dyDescent="0.25">
      <c r="B40" s="131" t="s">
        <v>57</v>
      </c>
      <c r="C40" s="131"/>
      <c r="D40" s="131"/>
      <c r="E40" s="131"/>
    </row>
    <row r="41" spans="1:5" ht="45.6" customHeight="1" x14ac:dyDescent="0.25">
      <c r="A41" s="118" t="s">
        <v>139</v>
      </c>
      <c r="B41" s="36" t="s">
        <v>167</v>
      </c>
      <c r="C41" s="136" t="s">
        <v>33</v>
      </c>
      <c r="D41" s="137"/>
      <c r="E41" s="124">
        <f>IF(D41="Yes",(SUM(E28,E29,E31,E35,E38)*0.5),0)</f>
        <v>0</v>
      </c>
    </row>
    <row r="42" spans="1:5" ht="25.9" customHeight="1" x14ac:dyDescent="0.25">
      <c r="A42" s="118"/>
      <c r="B42" s="37" t="s">
        <v>77</v>
      </c>
      <c r="C42" s="136"/>
      <c r="D42" s="137"/>
      <c r="E42" s="124"/>
    </row>
    <row r="43" spans="1:5" s="12" customFormat="1" ht="18.75" x14ac:dyDescent="0.3">
      <c r="B43" s="28"/>
      <c r="C43" s="56"/>
      <c r="D43" s="56"/>
      <c r="E43" s="57"/>
    </row>
    <row r="44" spans="1:5" ht="30.75" customHeight="1" x14ac:dyDescent="0.25">
      <c r="B44" s="132" t="s">
        <v>32</v>
      </c>
      <c r="C44" s="132"/>
      <c r="D44" s="132"/>
      <c r="E44" s="132"/>
    </row>
    <row r="45" spans="1:5" ht="72" customHeight="1" x14ac:dyDescent="0.25">
      <c r="A45" s="73" t="s">
        <v>141</v>
      </c>
      <c r="B45" s="25" t="s">
        <v>91</v>
      </c>
      <c r="C45" s="5" t="s">
        <v>28</v>
      </c>
      <c r="D45" s="65"/>
      <c r="E45" s="26">
        <f>IF(D45=0,0,(1.8*(D45/100))+1.4)</f>
        <v>0</v>
      </c>
    </row>
    <row r="46" spans="1:5" ht="30.75" customHeight="1" x14ac:dyDescent="0.25">
      <c r="B46" s="128" t="s">
        <v>107</v>
      </c>
      <c r="C46" s="129"/>
      <c r="D46" s="130"/>
      <c r="E46" s="27">
        <f>SUM(E8:E45)</f>
        <v>0</v>
      </c>
    </row>
    <row r="47" spans="1:5" x14ac:dyDescent="0.25">
      <c r="B47" s="8"/>
      <c r="C47" s="9"/>
      <c r="D47" s="10"/>
      <c r="E47" s="9"/>
    </row>
    <row r="48" spans="1:5" ht="27" customHeight="1" x14ac:dyDescent="0.25">
      <c r="B48" s="133" t="s">
        <v>56</v>
      </c>
      <c r="C48" s="133"/>
      <c r="D48" s="133"/>
      <c r="E48" s="133"/>
    </row>
    <row r="49" spans="1:5" ht="57" customHeight="1" x14ac:dyDescent="0.25">
      <c r="A49" s="119" t="s">
        <v>139</v>
      </c>
      <c r="B49" s="25" t="s">
        <v>70</v>
      </c>
      <c r="C49" s="125" t="s">
        <v>33</v>
      </c>
      <c r="D49" s="134"/>
      <c r="E49" s="124">
        <f>IF(D49="Yes",(E46*0.5),0)</f>
        <v>0</v>
      </c>
    </row>
    <row r="50" spans="1:5" ht="33.75" customHeight="1" x14ac:dyDescent="0.25">
      <c r="A50" s="120"/>
      <c r="B50" s="37" t="s">
        <v>75</v>
      </c>
      <c r="C50" s="125"/>
      <c r="D50" s="134"/>
      <c r="E50" s="124"/>
    </row>
    <row r="51" spans="1:5" ht="53.25" customHeight="1" x14ac:dyDescent="0.25">
      <c r="A51" s="120"/>
      <c r="B51" s="25" t="s">
        <v>71</v>
      </c>
      <c r="C51" s="125" t="s">
        <v>33</v>
      </c>
      <c r="D51" s="134"/>
      <c r="E51" s="124">
        <f>IF(D51="Yes",(E46*0.5),0)</f>
        <v>0</v>
      </c>
    </row>
    <row r="52" spans="1:5" ht="38.25" customHeight="1" x14ac:dyDescent="0.25">
      <c r="A52" s="121"/>
      <c r="B52" s="37" t="s">
        <v>76</v>
      </c>
      <c r="C52" s="125"/>
      <c r="D52" s="134"/>
      <c r="E52" s="124"/>
    </row>
    <row r="53" spans="1:5" ht="72" customHeight="1" x14ac:dyDescent="0.25">
      <c r="B53" s="128" t="s">
        <v>105</v>
      </c>
      <c r="C53" s="129"/>
      <c r="D53" s="130"/>
      <c r="E53" s="27">
        <f>SUM(E46,E49:E51)</f>
        <v>0</v>
      </c>
    </row>
    <row r="54" spans="1:5" ht="72" customHeight="1" x14ac:dyDescent="0.25">
      <c r="B54" s="35"/>
      <c r="D54"/>
      <c r="E54"/>
    </row>
    <row r="55" spans="1:5" s="6" customFormat="1" ht="15.75" x14ac:dyDescent="0.25">
      <c r="A55" s="39"/>
      <c r="B55"/>
      <c r="C55"/>
      <c r="D55"/>
      <c r="E55"/>
    </row>
    <row r="56" spans="1:5" ht="72" customHeight="1" x14ac:dyDescent="0.25">
      <c r="B56" s="6"/>
      <c r="C56" s="6"/>
      <c r="D56" s="6"/>
      <c r="E56" s="6"/>
    </row>
    <row r="57" spans="1:5" x14ac:dyDescent="0.25">
      <c r="D57"/>
      <c r="E57"/>
    </row>
    <row r="58" spans="1:5" x14ac:dyDescent="0.25">
      <c r="D58"/>
      <c r="E58"/>
    </row>
    <row r="59" spans="1:5" x14ac:dyDescent="0.25">
      <c r="D59"/>
      <c r="E59"/>
    </row>
    <row r="60" spans="1:5" x14ac:dyDescent="0.25">
      <c r="D60"/>
      <c r="E60"/>
    </row>
    <row r="61" spans="1:5" x14ac:dyDescent="0.25">
      <c r="D61"/>
      <c r="E61"/>
    </row>
  </sheetData>
  <sheetProtection algorithmName="SHA-512" hashValue="zbSq+d+63CYLpAMfWSYYktQwJzIL9VG5hgZjwvbsZGzHaQSzObvCTP275mwx56W9OroabKQIJsTGH17o8sGj0A==" saltValue="SxnJ41+RfkIE0BBHXqFlkg==" spinCount="100000" sheet="1" objects="1" scenarios="1"/>
  <customSheetViews>
    <customSheetView guid="{36CC4794-C273-4B81-9A7D-2317288926D0}" scale="60" showPageBreaks="1" view="pageBreakPreview">
      <selection activeCell="D2" sqref="D2"/>
      <rowBreaks count="2" manualBreakCount="2">
        <brk id="17" max="16383" man="1"/>
        <brk id="34" max="16383" man="1"/>
      </rowBreaks>
      <pageMargins left="0.7" right="0.7" top="0.75" bottom="0.75" header="0.3" footer="0.3"/>
      <pageSetup scale="88" orientation="portrait" r:id="rId1"/>
      <headerFooter>
        <oddHeader>&amp;L&amp;"Arial,Bold"&amp;16Overwater Structure Mitigation</oddHeader>
      </headerFooter>
    </customSheetView>
  </customSheetViews>
  <mergeCells count="42">
    <mergeCell ref="B7:E7"/>
    <mergeCell ref="B10:E10"/>
    <mergeCell ref="C41:C42"/>
    <mergeCell ref="D41:D42"/>
    <mergeCell ref="E41:E42"/>
    <mergeCell ref="B31:B32"/>
    <mergeCell ref="E31:E32"/>
    <mergeCell ref="B24:E24"/>
    <mergeCell ref="B34:E34"/>
    <mergeCell ref="B17:B18"/>
    <mergeCell ref="E17:E18"/>
    <mergeCell ref="C21:C22"/>
    <mergeCell ref="D21:D22"/>
    <mergeCell ref="E21:E22"/>
    <mergeCell ref="B3:E3"/>
    <mergeCell ref="B1:E1"/>
    <mergeCell ref="B53:D53"/>
    <mergeCell ref="B37:E37"/>
    <mergeCell ref="B44:E44"/>
    <mergeCell ref="B46:D46"/>
    <mergeCell ref="B48:E48"/>
    <mergeCell ref="B40:E40"/>
    <mergeCell ref="C49:C50"/>
    <mergeCell ref="D49:D50"/>
    <mergeCell ref="E49:E50"/>
    <mergeCell ref="C51:C52"/>
    <mergeCell ref="D51:D52"/>
    <mergeCell ref="E51:E52"/>
    <mergeCell ref="B9:E9"/>
    <mergeCell ref="A4:E4"/>
    <mergeCell ref="A12:A14"/>
    <mergeCell ref="A21:A22"/>
    <mergeCell ref="A29:A30"/>
    <mergeCell ref="B29:B30"/>
    <mergeCell ref="E29:E30"/>
    <mergeCell ref="B15:B16"/>
    <mergeCell ref="E15:E16"/>
    <mergeCell ref="A31:A32"/>
    <mergeCell ref="A41:A42"/>
    <mergeCell ref="A49:A52"/>
    <mergeCell ref="A15:A16"/>
    <mergeCell ref="A17:A18"/>
  </mergeCells>
  <hyperlinks>
    <hyperlink ref="B50" r:id="rId2"/>
    <hyperlink ref="B52" r:id="rId3"/>
    <hyperlink ref="B22" r:id="rId4"/>
    <hyperlink ref="B42" r:id="rId5"/>
  </hyperlinks>
  <pageMargins left="0.7" right="0.7" top="0.75" bottom="0.75" header="0.3" footer="0.3"/>
  <pageSetup scale="86" fitToHeight="3" orientation="portrait" r:id="rId6"/>
  <headerFooter>
    <oddHeader>&amp;L&amp;"Arial,Bold"&amp;16Overwater Structure Mitigation&amp;R&amp;"Arial,Bold"Version: 8/27/2018</oddHeader>
  </headerFooter>
  <rowBreaks count="2" manualBreakCount="2">
    <brk id="19" max="16383" man="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80"/>
  <sheetViews>
    <sheetView view="pageLayout" topLeftCell="C1" zoomScaleNormal="85" zoomScaleSheetLayoutView="55" workbookViewId="0">
      <selection activeCell="E29" sqref="E29"/>
    </sheetView>
  </sheetViews>
  <sheetFormatPr defaultRowHeight="15" x14ac:dyDescent="0.25"/>
  <cols>
    <col min="1" max="1" width="6" style="38" customWidth="1"/>
    <col min="2" max="2" width="9.140625" style="38"/>
    <col min="3" max="3" width="40.28515625" customWidth="1"/>
    <col min="4" max="4" width="21.28515625" customWidth="1"/>
    <col min="5" max="5" width="12.85546875" style="1" bestFit="1" customWidth="1"/>
    <col min="6" max="6" width="22.5703125" style="1" customWidth="1"/>
    <col min="7" max="7" width="34.140625" customWidth="1"/>
    <col min="8" max="13" width="16" customWidth="1"/>
  </cols>
  <sheetData>
    <row r="1" spans="1:6" s="18" customFormat="1" ht="23.25" x14ac:dyDescent="0.35">
      <c r="A1" s="127" t="s">
        <v>36</v>
      </c>
      <c r="B1" s="127"/>
      <c r="C1" s="127"/>
      <c r="D1" s="127"/>
      <c r="E1" s="127"/>
      <c r="F1" s="127"/>
    </row>
    <row r="2" spans="1:6" ht="15.75" x14ac:dyDescent="0.25">
      <c r="C2" s="13"/>
      <c r="D2" s="14"/>
      <c r="E2" s="15"/>
      <c r="F2" s="15"/>
    </row>
    <row r="3" spans="1:6" ht="30" customHeight="1" x14ac:dyDescent="0.25">
      <c r="C3" s="167" t="s">
        <v>21</v>
      </c>
      <c r="D3" s="167"/>
    </row>
    <row r="4" spans="1:6" ht="60.75" customHeight="1" x14ac:dyDescent="0.25">
      <c r="A4" s="135"/>
      <c r="B4" s="135"/>
      <c r="C4" s="135"/>
      <c r="D4" s="135"/>
      <c r="E4" s="135"/>
      <c r="F4" s="135"/>
    </row>
    <row r="5" spans="1:6" s="2" customFormat="1" ht="42" x14ac:dyDescent="0.35">
      <c r="C5" s="3" t="s">
        <v>12</v>
      </c>
      <c r="D5" s="3" t="s">
        <v>5</v>
      </c>
      <c r="E5" s="3" t="s">
        <v>1</v>
      </c>
      <c r="F5" s="4" t="s">
        <v>13</v>
      </c>
    </row>
    <row r="6" spans="1:6" s="6" customFormat="1" ht="15.75" x14ac:dyDescent="0.25">
      <c r="A6" s="39"/>
      <c r="B6" s="39"/>
      <c r="C6" s="166" t="s">
        <v>17</v>
      </c>
      <c r="D6" s="166"/>
      <c r="E6" s="166"/>
      <c r="F6" s="166"/>
    </row>
    <row r="7" spans="1:6" ht="46.15" customHeight="1" x14ac:dyDescent="0.25">
      <c r="B7" s="118" t="s">
        <v>144</v>
      </c>
      <c r="C7" s="25" t="s">
        <v>93</v>
      </c>
      <c r="D7" s="25" t="s">
        <v>7</v>
      </c>
      <c r="E7" s="64"/>
      <c r="F7" s="26">
        <f>(E7/100)*0.35</f>
        <v>0</v>
      </c>
    </row>
    <row r="8" spans="1:6" ht="42.6" customHeight="1" x14ac:dyDescent="0.25">
      <c r="B8" s="118"/>
      <c r="C8" s="25" t="s">
        <v>128</v>
      </c>
      <c r="D8" s="25" t="s">
        <v>7</v>
      </c>
      <c r="E8" s="64"/>
      <c r="F8" s="26">
        <f>0.7*E8/100</f>
        <v>0</v>
      </c>
    </row>
    <row r="9" spans="1:6" s="6" customFormat="1" ht="15.75" x14ac:dyDescent="0.25">
      <c r="A9" s="39"/>
      <c r="B9" s="39"/>
      <c r="C9" s="157" t="s">
        <v>18</v>
      </c>
      <c r="D9" s="157"/>
      <c r="E9" s="157"/>
      <c r="F9" s="157"/>
    </row>
    <row r="10" spans="1:6" ht="89.25" customHeight="1" x14ac:dyDescent="0.25">
      <c r="B10" s="119" t="s">
        <v>145</v>
      </c>
      <c r="C10" s="46" t="s">
        <v>177</v>
      </c>
      <c r="D10" s="83" t="s">
        <v>170</v>
      </c>
      <c r="E10" s="82"/>
      <c r="F10" s="89" t="str">
        <f>F16</f>
        <v>N/A</v>
      </c>
    </row>
    <row r="11" spans="1:6" s="38" customFormat="1" ht="31.5" customHeight="1" x14ac:dyDescent="0.25">
      <c r="B11" s="120"/>
      <c r="C11" s="83" t="s">
        <v>171</v>
      </c>
      <c r="D11" s="83" t="s">
        <v>173</v>
      </c>
      <c r="E11" s="91">
        <f>E12+E13</f>
        <v>0</v>
      </c>
      <c r="F11" s="149" t="s">
        <v>55</v>
      </c>
    </row>
    <row r="12" spans="1:6" s="38" customFormat="1" ht="33" customHeight="1" x14ac:dyDescent="0.25">
      <c r="B12" s="120"/>
      <c r="C12" s="80" t="s">
        <v>172</v>
      </c>
      <c r="D12" s="83" t="s">
        <v>174</v>
      </c>
      <c r="E12" s="90"/>
      <c r="F12" s="150"/>
    </row>
    <row r="13" spans="1:6" s="38" customFormat="1" ht="30" customHeight="1" x14ac:dyDescent="0.25">
      <c r="B13" s="120"/>
      <c r="C13" s="88" t="s">
        <v>175</v>
      </c>
      <c r="D13" s="87" t="s">
        <v>174</v>
      </c>
      <c r="E13" s="90"/>
      <c r="F13" s="151"/>
    </row>
    <row r="14" spans="1:6" s="38" customFormat="1" ht="185.25" customHeight="1" x14ac:dyDescent="0.25">
      <c r="B14" s="120"/>
      <c r="C14" s="145"/>
      <c r="D14" s="146"/>
      <c r="E14" s="146"/>
      <c r="F14" s="146"/>
    </row>
    <row r="15" spans="1:6" s="38" customFormat="1" ht="20.45" customHeight="1" x14ac:dyDescent="0.25">
      <c r="B15" s="120"/>
      <c r="C15" s="147" t="s">
        <v>176</v>
      </c>
      <c r="D15" s="148"/>
      <c r="E15" s="148"/>
      <c r="F15" s="148"/>
    </row>
    <row r="16" spans="1:6" s="38" customFormat="1" ht="78.75" customHeight="1" x14ac:dyDescent="0.25">
      <c r="B16" s="121"/>
      <c r="C16" s="81" t="s">
        <v>178</v>
      </c>
      <c r="D16" s="83" t="s">
        <v>6</v>
      </c>
      <c r="E16" s="82"/>
      <c r="F16" s="48" t="str">
        <f>IF(OR(E11=1,E11=5),E16*0.002,IF(OR(E11=2,E11=3,E11=4),E16*0.003,IF(OR(E11=7,E11=6),E16*0.001,IF(E11=8,"Case-by-Case","N/A"))))</f>
        <v>N/A</v>
      </c>
    </row>
    <row r="17" spans="1:7" s="6" customFormat="1" ht="15.75" x14ac:dyDescent="0.25">
      <c r="A17" s="39"/>
      <c r="B17" s="39"/>
      <c r="C17" s="158" t="s">
        <v>19</v>
      </c>
      <c r="D17" s="158"/>
      <c r="E17" s="158"/>
      <c r="F17" s="158"/>
    </row>
    <row r="18" spans="1:7" ht="45" x14ac:dyDescent="0.25">
      <c r="B18" s="73" t="s">
        <v>146</v>
      </c>
      <c r="C18" s="25" t="s">
        <v>181</v>
      </c>
      <c r="D18" s="25" t="s">
        <v>6</v>
      </c>
      <c r="E18" s="64"/>
      <c r="F18" s="26">
        <f>(E18/2000)*7.2</f>
        <v>0</v>
      </c>
    </row>
    <row r="19" spans="1:7" ht="15.75" x14ac:dyDescent="0.25">
      <c r="C19" s="157" t="s">
        <v>94</v>
      </c>
      <c r="D19" s="157"/>
      <c r="E19" s="157"/>
      <c r="F19" s="157"/>
    </row>
    <row r="20" spans="1:7" s="6" customFormat="1" ht="50.25" customHeight="1" x14ac:dyDescent="0.25">
      <c r="A20" s="39"/>
      <c r="B20" s="170" t="s">
        <v>147</v>
      </c>
      <c r="C20" s="25" t="s">
        <v>179</v>
      </c>
      <c r="D20" s="25" t="s">
        <v>4</v>
      </c>
      <c r="E20" s="64"/>
      <c r="F20" s="26">
        <f>0.5*E20</f>
        <v>0</v>
      </c>
    </row>
    <row r="21" spans="1:7" s="38" customFormat="1" x14ac:dyDescent="0.25">
      <c r="B21" s="171"/>
      <c r="C21" s="85" t="s">
        <v>95</v>
      </c>
      <c r="D21" s="85" t="s">
        <v>4</v>
      </c>
      <c r="E21" s="86"/>
      <c r="F21" s="84">
        <f>E21*1</f>
        <v>0</v>
      </c>
    </row>
    <row r="22" spans="1:7" ht="15.75" x14ac:dyDescent="0.25">
      <c r="C22" s="157" t="s">
        <v>78</v>
      </c>
      <c r="D22" s="157"/>
      <c r="E22" s="157"/>
      <c r="F22" s="157"/>
    </row>
    <row r="23" spans="1:7" s="6" customFormat="1" ht="45" x14ac:dyDescent="0.25">
      <c r="A23" s="39"/>
      <c r="B23" s="73" t="s">
        <v>148</v>
      </c>
      <c r="C23" s="25" t="s">
        <v>99</v>
      </c>
      <c r="D23" s="25" t="s">
        <v>3</v>
      </c>
      <c r="E23" s="64"/>
      <c r="F23" s="26">
        <f>E23*0.1/100</f>
        <v>0</v>
      </c>
    </row>
    <row r="24" spans="1:7" s="38" customFormat="1" ht="19.899999999999999" customHeight="1" x14ac:dyDescent="0.25">
      <c r="C24" s="159" t="s">
        <v>125</v>
      </c>
      <c r="D24" s="159"/>
      <c r="E24" s="159"/>
      <c r="F24" s="159"/>
    </row>
    <row r="25" spans="1:7" s="38" customFormat="1" ht="15.75" x14ac:dyDescent="0.25">
      <c r="C25" s="156" t="s">
        <v>110</v>
      </c>
      <c r="D25" s="156"/>
      <c r="E25" s="156"/>
      <c r="F25" s="156"/>
      <c r="G25" s="39"/>
    </row>
    <row r="26" spans="1:7" s="39" customFormat="1" ht="18.75" x14ac:dyDescent="0.25">
      <c r="C26" s="169" t="s">
        <v>113</v>
      </c>
      <c r="D26" s="169"/>
      <c r="E26" s="169"/>
      <c r="F26" s="169"/>
      <c r="G26"/>
    </row>
    <row r="27" spans="1:7" s="39" customFormat="1" ht="71.25" customHeight="1" x14ac:dyDescent="0.25">
      <c r="A27" s="141" t="s">
        <v>157</v>
      </c>
      <c r="B27" s="73" t="s">
        <v>150</v>
      </c>
      <c r="C27" s="62" t="s">
        <v>112</v>
      </c>
      <c r="D27" s="61" t="s">
        <v>28</v>
      </c>
      <c r="E27" s="64"/>
      <c r="F27" s="63">
        <f>IF(E27=0,0,(0.1*E27)/100)</f>
        <v>0</v>
      </c>
      <c r="G27" s="38"/>
    </row>
    <row r="28" spans="1:7" ht="105" x14ac:dyDescent="0.25">
      <c r="A28" s="141"/>
      <c r="B28" s="73" t="s">
        <v>151</v>
      </c>
      <c r="C28" s="62" t="s">
        <v>163</v>
      </c>
      <c r="D28" s="62" t="s">
        <v>162</v>
      </c>
      <c r="E28" s="64"/>
      <c r="F28" s="63">
        <f>IF(E28=0,0,(1*E28)/100 +0.1)</f>
        <v>0</v>
      </c>
    </row>
    <row r="29" spans="1:7" ht="90" x14ac:dyDescent="0.25">
      <c r="A29" s="141"/>
      <c r="B29" s="73" t="s">
        <v>149</v>
      </c>
      <c r="C29" s="62" t="s">
        <v>101</v>
      </c>
      <c r="D29" s="62" t="s">
        <v>85</v>
      </c>
      <c r="E29" s="64"/>
      <c r="F29" s="63">
        <f>IF(E29=0,0,(1.06*E29)/100 +1.07)</f>
        <v>0</v>
      </c>
    </row>
    <row r="30" spans="1:7" ht="48.75" customHeight="1" x14ac:dyDescent="0.25">
      <c r="A30" s="141"/>
      <c r="B30" s="73" t="s">
        <v>139</v>
      </c>
      <c r="C30" s="62" t="s">
        <v>161</v>
      </c>
      <c r="D30" s="62" t="s">
        <v>33</v>
      </c>
      <c r="E30" s="64"/>
      <c r="F30" s="92">
        <f>IF(E30="Yes",(F27+F28+F29)*0.5, 0)</f>
        <v>0</v>
      </c>
    </row>
    <row r="31" spans="1:7" ht="18.75" x14ac:dyDescent="0.25">
      <c r="C31" s="165" t="s">
        <v>114</v>
      </c>
      <c r="D31" s="165"/>
      <c r="E31" s="165"/>
      <c r="F31" s="165"/>
    </row>
    <row r="32" spans="1:7" ht="31.5" x14ac:dyDescent="0.25">
      <c r="A32" s="141" t="s">
        <v>157</v>
      </c>
      <c r="B32" s="74" t="s">
        <v>140</v>
      </c>
      <c r="C32" s="33" t="s">
        <v>69</v>
      </c>
      <c r="D32" s="33" t="s">
        <v>96</v>
      </c>
      <c r="E32" s="64"/>
      <c r="F32" s="49" t="s">
        <v>55</v>
      </c>
      <c r="G32" s="38"/>
    </row>
    <row r="33" spans="1:16" s="38" customFormat="1" ht="12" customHeight="1" x14ac:dyDescent="0.25">
      <c r="A33" s="141"/>
      <c r="C33" s="68" t="s">
        <v>117</v>
      </c>
      <c r="D33" s="69"/>
      <c r="E33" s="69"/>
      <c r="F33" s="69"/>
    </row>
    <row r="34" spans="1:16" s="38" customFormat="1" ht="70.150000000000006" customHeight="1" x14ac:dyDescent="0.25">
      <c r="A34" s="141"/>
      <c r="B34" s="74" t="s">
        <v>150</v>
      </c>
      <c r="C34" s="62" t="s">
        <v>115</v>
      </c>
      <c r="D34" s="61" t="s">
        <v>28</v>
      </c>
      <c r="E34" s="64"/>
      <c r="F34" s="70">
        <f>IF(E34=0,0,(IF($E$32=0,(0.5*(E34/100)+0.2),IF($E$32=1,(0.9*(E34/100)+0.1),IF($E$32=2,(1.2*(E34/100)+0.3),IF($E$32=3,(1.6*(E34/100)+0.3)))))))</f>
        <v>0</v>
      </c>
    </row>
    <row r="35" spans="1:16" s="38" customFormat="1" ht="100.15" customHeight="1" x14ac:dyDescent="0.25">
      <c r="A35" s="141"/>
      <c r="B35" s="74" t="s">
        <v>151</v>
      </c>
      <c r="C35" s="66" t="s">
        <v>143</v>
      </c>
      <c r="D35" s="66" t="s">
        <v>68</v>
      </c>
      <c r="E35" s="71"/>
      <c r="F35" s="70">
        <f>IF(E35=0,0,(IF($E$32=0,(1.1*(E35/100)),IF($E$32=1,(1.6*(E35/100)),IF($E$32=2,(2.2*(E35/100)),IF($E$32=3,(3.7*(E35/100))))))))</f>
        <v>0</v>
      </c>
    </row>
    <row r="36" spans="1:16" s="38" customFormat="1" ht="15" customHeight="1" x14ac:dyDescent="0.25">
      <c r="A36" s="141"/>
      <c r="C36" s="155" t="s">
        <v>0</v>
      </c>
      <c r="D36" s="155"/>
      <c r="E36" s="155"/>
      <c r="F36" s="155"/>
    </row>
    <row r="37" spans="1:16" s="38" customFormat="1" ht="54.6" customHeight="1" x14ac:dyDescent="0.25">
      <c r="A37" s="141"/>
      <c r="B37" s="74" t="s">
        <v>152</v>
      </c>
      <c r="C37" s="62" t="s">
        <v>97</v>
      </c>
      <c r="D37" s="62" t="s">
        <v>79</v>
      </c>
      <c r="E37" s="64"/>
      <c r="F37" s="63">
        <f>IF(E37=0,0,(IF(E32=0,(3.5*(E37/100)+7.2),IF(E32=1,(4.8*(E37/100)+8.9),IF(E32=2,(6.1*(E37/100)+10.6),IF(E32=3,(7.4*(E37/100)+12.3),(0)))))))*0.35</f>
        <v>0</v>
      </c>
    </row>
    <row r="38" spans="1:16" s="38" customFormat="1" ht="78" customHeight="1" x14ac:dyDescent="0.25">
      <c r="A38" s="141"/>
      <c r="B38" s="74" t="s">
        <v>153</v>
      </c>
      <c r="C38" s="62" t="s">
        <v>100</v>
      </c>
      <c r="D38" s="62" t="s">
        <v>81</v>
      </c>
      <c r="E38" s="64"/>
      <c r="F38" s="63">
        <f>IF(E38=0,0,IF(E32=0,(2.2*(E38/100)+2.7),IF(E32=1,(3.5*(E38/100)+4.5),IF(E32=2,(4.9*(E38/100)+6.2),IF(E32=3,(6.3*(E38/100)+7.9),(0))))))*0.35</f>
        <v>0</v>
      </c>
    </row>
    <row r="39" spans="1:16" s="38" customFormat="1" ht="51" customHeight="1" x14ac:dyDescent="0.25">
      <c r="A39" s="141"/>
      <c r="B39" s="73" t="s">
        <v>139</v>
      </c>
      <c r="C39" s="62" t="s">
        <v>160</v>
      </c>
      <c r="D39" s="62" t="s">
        <v>33</v>
      </c>
      <c r="E39" s="64"/>
      <c r="F39" s="63">
        <f>IF(E39="Yes",(F37+F38+F35+F34)*0.5, 0)</f>
        <v>0</v>
      </c>
    </row>
    <row r="40" spans="1:16" s="38" customFormat="1" ht="18.75" x14ac:dyDescent="0.25">
      <c r="A40" s="141"/>
      <c r="C40" s="162" t="s">
        <v>183</v>
      </c>
      <c r="D40" s="163"/>
      <c r="E40" s="163"/>
      <c r="F40" s="164"/>
    </row>
    <row r="41" spans="1:16" s="38" customFormat="1" ht="65.25" customHeight="1" x14ac:dyDescent="0.25">
      <c r="A41" s="141"/>
      <c r="B41" s="73" t="s">
        <v>141</v>
      </c>
      <c r="C41" s="62" t="s">
        <v>80</v>
      </c>
      <c r="D41" s="62" t="s">
        <v>98</v>
      </c>
      <c r="E41" s="64"/>
      <c r="F41" s="63">
        <f>IF(E41=0,0,(1.8*(E41/100))+1.4)*0.35</f>
        <v>0</v>
      </c>
    </row>
    <row r="42" spans="1:16" ht="21" x14ac:dyDescent="0.25">
      <c r="C42" s="159" t="s">
        <v>108</v>
      </c>
      <c r="D42" s="159"/>
      <c r="E42" s="159"/>
      <c r="F42" s="159"/>
    </row>
    <row r="43" spans="1:16" s="6" customFormat="1" ht="17.45" customHeight="1" x14ac:dyDescent="0.25">
      <c r="A43" s="39"/>
      <c r="B43" s="39"/>
      <c r="C43" s="157" t="s">
        <v>109</v>
      </c>
      <c r="D43" s="157"/>
      <c r="E43" s="157"/>
      <c r="F43" s="157"/>
    </row>
    <row r="44" spans="1:16" s="38" customFormat="1" ht="18.75" x14ac:dyDescent="0.25">
      <c r="C44" s="168" t="s">
        <v>113</v>
      </c>
      <c r="D44" s="168"/>
      <c r="E44" s="168"/>
      <c r="F44" s="168"/>
    </row>
    <row r="45" spans="1:16" s="38" customFormat="1" ht="72.75" customHeight="1" x14ac:dyDescent="0.25">
      <c r="A45" s="143" t="s">
        <v>154</v>
      </c>
      <c r="B45" s="73" t="s">
        <v>150</v>
      </c>
      <c r="C45" s="62" t="s">
        <v>112</v>
      </c>
      <c r="D45" s="61" t="s">
        <v>28</v>
      </c>
      <c r="E45" s="64"/>
      <c r="F45" s="63">
        <f>IF(E45=0,0,(1.7*E45)/100)</f>
        <v>0</v>
      </c>
    </row>
    <row r="46" spans="1:16" s="38" customFormat="1" ht="103.9" customHeight="1" x14ac:dyDescent="0.25">
      <c r="A46" s="144"/>
      <c r="B46" s="73" t="s">
        <v>151</v>
      </c>
      <c r="C46" s="66" t="s">
        <v>166</v>
      </c>
      <c r="D46" s="66" t="s">
        <v>68</v>
      </c>
      <c r="E46" s="71"/>
      <c r="F46" s="67">
        <f>IF(E46=0,0,(3*E46)/100 +0.2)</f>
        <v>0</v>
      </c>
      <c r="H46" s="50"/>
      <c r="I46" s="50"/>
      <c r="J46" s="50"/>
      <c r="K46" s="50"/>
      <c r="L46" s="50"/>
      <c r="M46" s="50"/>
      <c r="N46" s="50"/>
      <c r="O46" s="50"/>
      <c r="P46" s="50"/>
    </row>
    <row r="47" spans="1:16" ht="99.6" customHeight="1" x14ac:dyDescent="0.25">
      <c r="A47" s="143" t="s">
        <v>154</v>
      </c>
      <c r="B47" s="73" t="s">
        <v>149</v>
      </c>
      <c r="C47" s="62" t="s">
        <v>102</v>
      </c>
      <c r="D47" s="62" t="s">
        <v>86</v>
      </c>
      <c r="E47" s="64"/>
      <c r="F47" s="63">
        <f>IF(E47=0,0,(2.82*E47)/100 +3.54)</f>
        <v>0</v>
      </c>
    </row>
    <row r="48" spans="1:16" ht="60.75" customHeight="1" x14ac:dyDescent="0.25">
      <c r="A48" s="144"/>
      <c r="B48" s="73" t="s">
        <v>139</v>
      </c>
      <c r="C48" s="62" t="s">
        <v>161</v>
      </c>
      <c r="D48" s="62" t="s">
        <v>33</v>
      </c>
      <c r="E48" s="64"/>
      <c r="F48" s="63">
        <f>IF(E48="Yes",(F45+F46+F47)*0.5, 0)</f>
        <v>0</v>
      </c>
    </row>
    <row r="49" spans="1:7" ht="18.75" x14ac:dyDescent="0.25">
      <c r="C49" s="165" t="s">
        <v>114</v>
      </c>
      <c r="D49" s="165"/>
      <c r="E49" s="165"/>
      <c r="F49" s="165"/>
    </row>
    <row r="50" spans="1:7" s="38" customFormat="1" ht="61.9" customHeight="1" x14ac:dyDescent="0.25">
      <c r="A50" s="141" t="s">
        <v>154</v>
      </c>
      <c r="B50" s="74" t="s">
        <v>140</v>
      </c>
      <c r="C50" s="33" t="s">
        <v>69</v>
      </c>
      <c r="D50" s="33" t="s">
        <v>96</v>
      </c>
      <c r="E50" s="64"/>
      <c r="F50" s="49" t="s">
        <v>55</v>
      </c>
    </row>
    <row r="51" spans="1:7" ht="17.25" customHeight="1" x14ac:dyDescent="0.25">
      <c r="A51" s="141"/>
      <c r="C51" s="68" t="s">
        <v>117</v>
      </c>
      <c r="D51" s="69"/>
      <c r="E51" s="69"/>
      <c r="F51" s="69"/>
      <c r="G51" s="38"/>
    </row>
    <row r="52" spans="1:7" s="38" customFormat="1" ht="81.599999999999994" customHeight="1" x14ac:dyDescent="0.25">
      <c r="A52" s="141"/>
      <c r="B52" s="74" t="s">
        <v>150</v>
      </c>
      <c r="C52" s="62" t="s">
        <v>115</v>
      </c>
      <c r="D52" s="61" t="s">
        <v>28</v>
      </c>
      <c r="E52" s="64"/>
      <c r="F52" s="70">
        <f>IF(E52=0,0,(IF(E49=0,(1.5*(E52/100)+0.1),IF(E49=1,(2.5*(E52/100)),IF(E49=2,(3.3*(E52/100)+0.6),IF(E49=3,(4.3*(E52/100+0.5))))))))</f>
        <v>0</v>
      </c>
      <c r="G52" s="39"/>
    </row>
    <row r="53" spans="1:7" s="39" customFormat="1" ht="99" customHeight="1" x14ac:dyDescent="0.25">
      <c r="A53" s="141"/>
      <c r="B53" s="74" t="s">
        <v>151</v>
      </c>
      <c r="C53" s="66" t="s">
        <v>168</v>
      </c>
      <c r="D53" s="66" t="s">
        <v>68</v>
      </c>
      <c r="E53" s="71"/>
      <c r="F53" s="70">
        <f>IF(E53=0,0,(IF(E50=0,(2.6*(E53/100)+0.3),IF(E50=1,(4.3*(E53/100)+0.2),IF(E50=2,(5.9*(E53/100)+0.5),IF(E50=3,(7.1*(E53/100+0.3))))))))</f>
        <v>0</v>
      </c>
    </row>
    <row r="54" spans="1:7" s="38" customFormat="1" ht="19.5" customHeight="1" x14ac:dyDescent="0.25">
      <c r="A54" s="141"/>
      <c r="C54" s="155" t="s">
        <v>0</v>
      </c>
      <c r="D54" s="155"/>
      <c r="E54" s="155"/>
      <c r="F54" s="155"/>
    </row>
    <row r="55" spans="1:7" ht="51" customHeight="1" x14ac:dyDescent="0.25">
      <c r="A55" s="141"/>
      <c r="B55" s="74" t="s">
        <v>152</v>
      </c>
      <c r="C55" s="62" t="s">
        <v>97</v>
      </c>
      <c r="D55" s="62" t="s">
        <v>79</v>
      </c>
      <c r="E55" s="64"/>
      <c r="F55" s="63">
        <f>IF(E55=0,0,(IF(E50=0,(3.5*(E55/100)+7.2),IF(E50=1,(4.8*(E55/100)+8.9),IF(E50=2,(6.1*(E55/100)+10.6),IF(E50=3,(7.4*(E55/100)+12.3),(0)))))))</f>
        <v>0</v>
      </c>
    </row>
    <row r="56" spans="1:7" s="38" customFormat="1" ht="65.45" customHeight="1" x14ac:dyDescent="0.25">
      <c r="A56" s="141"/>
      <c r="B56" s="74" t="s">
        <v>153</v>
      </c>
      <c r="C56" s="62" t="s">
        <v>82</v>
      </c>
      <c r="D56" s="62" t="s">
        <v>81</v>
      </c>
      <c r="E56" s="64"/>
      <c r="F56" s="63">
        <f>IF(E56=0,0,IF(E50=0,(2.2*(E56/100)+2.7),IF(E50=1,(3.5*(E56/100)+4.5),IF(E50=2,(4.9*(E56/100)+6.2),IF(E50=3,(6.3*(E56/100)+7.9),(0))))))</f>
        <v>0</v>
      </c>
    </row>
    <row r="57" spans="1:7" ht="55.9" customHeight="1" x14ac:dyDescent="0.25">
      <c r="A57" s="141"/>
      <c r="B57" s="73" t="s">
        <v>139</v>
      </c>
      <c r="C57" s="62" t="s">
        <v>160</v>
      </c>
      <c r="D57" s="62" t="s">
        <v>33</v>
      </c>
      <c r="E57" s="64"/>
      <c r="F57" s="63">
        <f>IF(E57="Yes",(F52+F53+F55+F56)*0.5, 0)</f>
        <v>0</v>
      </c>
      <c r="G57" s="43"/>
    </row>
    <row r="58" spans="1:7" s="38" customFormat="1" ht="18.75" x14ac:dyDescent="0.25">
      <c r="A58" s="141"/>
      <c r="C58" s="165" t="s">
        <v>183</v>
      </c>
      <c r="D58" s="165"/>
      <c r="E58" s="165"/>
      <c r="F58" s="165"/>
    </row>
    <row r="59" spans="1:7" ht="48.75" x14ac:dyDescent="0.25">
      <c r="A59" s="141"/>
      <c r="B59" s="73" t="s">
        <v>141</v>
      </c>
      <c r="C59" s="62" t="s">
        <v>80</v>
      </c>
      <c r="D59" s="62" t="s">
        <v>98</v>
      </c>
      <c r="E59" s="64"/>
      <c r="F59" s="63">
        <f>IF(E59=0,0,(1.8*(E59/100))+1.4)</f>
        <v>0</v>
      </c>
      <c r="G59" s="38"/>
    </row>
    <row r="60" spans="1:7" s="96" customFormat="1" ht="21" x14ac:dyDescent="0.35">
      <c r="C60" s="160" t="s">
        <v>83</v>
      </c>
      <c r="D60" s="160"/>
      <c r="E60" s="160"/>
      <c r="F60" s="160"/>
    </row>
    <row r="61" spans="1:7" s="38" customFormat="1" ht="63.75" customHeight="1" x14ac:dyDescent="0.25">
      <c r="A61" s="142" t="s">
        <v>158</v>
      </c>
      <c r="B61" s="140" t="s">
        <v>155</v>
      </c>
      <c r="C61" s="25" t="s">
        <v>8</v>
      </c>
      <c r="D61" s="25" t="s">
        <v>9</v>
      </c>
      <c r="E61" s="64"/>
      <c r="F61" s="26">
        <f>E61*0.8</f>
        <v>0</v>
      </c>
    </row>
    <row r="62" spans="1:7" ht="24" customHeight="1" x14ac:dyDescent="0.25">
      <c r="A62" s="142"/>
      <c r="B62" s="140"/>
      <c r="C62" s="25" t="s">
        <v>10</v>
      </c>
      <c r="D62" s="25" t="s">
        <v>11</v>
      </c>
      <c r="E62" s="64"/>
      <c r="F62" s="26">
        <f>(E62/100)*3</f>
        <v>0</v>
      </c>
    </row>
    <row r="63" spans="1:7" ht="38.450000000000003" customHeight="1" x14ac:dyDescent="0.25">
      <c r="A63" s="142"/>
      <c r="B63" s="140"/>
      <c r="C63" s="25" t="s">
        <v>14</v>
      </c>
      <c r="D63" s="145" t="s">
        <v>2</v>
      </c>
      <c r="E63" s="152"/>
      <c r="F63" s="86"/>
    </row>
    <row r="64" spans="1:7" ht="27.6" customHeight="1" x14ac:dyDescent="0.25">
      <c r="A64" s="142"/>
      <c r="B64" s="140" t="s">
        <v>156</v>
      </c>
      <c r="C64" s="25" t="s">
        <v>15</v>
      </c>
      <c r="D64" s="58" t="s">
        <v>126</v>
      </c>
      <c r="E64" s="64"/>
      <c r="F64" s="59">
        <f>(E64/100)*1.4</f>
        <v>0</v>
      </c>
    </row>
    <row r="65" spans="1:6" ht="30" x14ac:dyDescent="0.25">
      <c r="A65" s="142"/>
      <c r="B65" s="140"/>
      <c r="C65" s="25" t="s">
        <v>184</v>
      </c>
      <c r="D65" s="55" t="s">
        <v>111</v>
      </c>
      <c r="E65" s="64"/>
      <c r="F65" s="54">
        <f>(E65/100)*0.65</f>
        <v>0</v>
      </c>
    </row>
    <row r="66" spans="1:6" s="38" customFormat="1" ht="30" x14ac:dyDescent="0.25">
      <c r="A66" s="142"/>
      <c r="B66" s="140"/>
      <c r="C66" s="93" t="s">
        <v>182</v>
      </c>
      <c r="D66" s="95" t="s">
        <v>185</v>
      </c>
      <c r="E66" s="94"/>
      <c r="F66" s="92">
        <f>E66*0.37</f>
        <v>0</v>
      </c>
    </row>
    <row r="67" spans="1:6" ht="32.450000000000003" customHeight="1" x14ac:dyDescent="0.25">
      <c r="A67" s="142"/>
      <c r="B67" s="140"/>
      <c r="C67" s="25" t="s">
        <v>16</v>
      </c>
      <c r="D67" s="145" t="s">
        <v>2</v>
      </c>
      <c r="E67" s="152"/>
      <c r="F67" s="86"/>
    </row>
    <row r="68" spans="1:6" s="38" customFormat="1" ht="90.75" customHeight="1" x14ac:dyDescent="0.25">
      <c r="A68" s="142"/>
      <c r="B68" s="78" t="s">
        <v>139</v>
      </c>
      <c r="C68" s="76" t="s">
        <v>169</v>
      </c>
      <c r="D68" s="76" t="s">
        <v>33</v>
      </c>
      <c r="E68" s="77"/>
      <c r="F68" s="75">
        <f>IF(E68="Yes",(SUM(F61:F67))*0.5, 0)</f>
        <v>0</v>
      </c>
    </row>
    <row r="69" spans="1:6" ht="32.450000000000003" customHeight="1" x14ac:dyDescent="0.25">
      <c r="C69" s="79" t="s">
        <v>103</v>
      </c>
      <c r="D69" s="153" t="s">
        <v>2</v>
      </c>
      <c r="E69" s="154"/>
      <c r="F69" s="86"/>
    </row>
    <row r="70" spans="1:6" ht="33" customHeight="1" x14ac:dyDescent="0.25">
      <c r="C70" s="128" t="s">
        <v>37</v>
      </c>
      <c r="D70" s="129"/>
      <c r="E70" s="130"/>
      <c r="F70" s="27">
        <f>SUM(F7:F69)</f>
        <v>0</v>
      </c>
    </row>
    <row r="71" spans="1:6" ht="10.5" customHeight="1" x14ac:dyDescent="0.25">
      <c r="C71" s="52"/>
      <c r="D71" s="52"/>
      <c r="E71" s="52"/>
      <c r="F71" s="53"/>
    </row>
    <row r="72" spans="1:6" ht="7.5" customHeight="1" x14ac:dyDescent="0.25">
      <c r="C72" s="44"/>
      <c r="D72" s="44"/>
      <c r="E72" s="44"/>
      <c r="F72" s="45"/>
    </row>
    <row r="73" spans="1:6" ht="18.75" x14ac:dyDescent="0.25">
      <c r="C73" s="161" t="s">
        <v>104</v>
      </c>
      <c r="D73" s="161"/>
      <c r="E73" s="161"/>
      <c r="F73" s="161"/>
    </row>
    <row r="74" spans="1:6" ht="45" customHeight="1" x14ac:dyDescent="0.25">
      <c r="B74" s="140" t="s">
        <v>139</v>
      </c>
      <c r="C74" s="46" t="s">
        <v>70</v>
      </c>
      <c r="D74" s="125" t="s">
        <v>33</v>
      </c>
      <c r="E74" s="134"/>
      <c r="F74" s="124">
        <f>IF(E74="Yes",(F70*0.5),0)</f>
        <v>0</v>
      </c>
    </row>
    <row r="75" spans="1:6" x14ac:dyDescent="0.25">
      <c r="B75" s="140"/>
      <c r="C75" s="37" t="s">
        <v>75</v>
      </c>
      <c r="D75" s="125"/>
      <c r="E75" s="134"/>
      <c r="F75" s="124"/>
    </row>
    <row r="76" spans="1:6" ht="60" x14ac:dyDescent="0.25">
      <c r="B76" s="140"/>
      <c r="C76" s="46" t="s">
        <v>71</v>
      </c>
      <c r="D76" s="125" t="s">
        <v>33</v>
      </c>
      <c r="E76" s="134"/>
      <c r="F76" s="124">
        <f>IF(E76="Yes",(F70*0.5),0)</f>
        <v>0</v>
      </c>
    </row>
    <row r="77" spans="1:6" x14ac:dyDescent="0.25">
      <c r="B77" s="140"/>
      <c r="C77" s="37" t="s">
        <v>76</v>
      </c>
      <c r="D77" s="125"/>
      <c r="E77" s="134"/>
      <c r="F77" s="124"/>
    </row>
    <row r="78" spans="1:6" ht="18" customHeight="1" x14ac:dyDescent="0.25">
      <c r="C78" s="156" t="s">
        <v>20</v>
      </c>
      <c r="D78" s="156"/>
      <c r="E78" s="156"/>
      <c r="F78" s="156"/>
    </row>
    <row r="79" spans="1:6" ht="65.25" customHeight="1" x14ac:dyDescent="0.25">
      <c r="B79" s="73" t="s">
        <v>20</v>
      </c>
      <c r="C79" s="42" t="s">
        <v>72</v>
      </c>
      <c r="D79" s="145" t="s">
        <v>2</v>
      </c>
      <c r="E79" s="152"/>
      <c r="F79" s="51"/>
    </row>
    <row r="80" spans="1:6" ht="18" x14ac:dyDescent="0.25">
      <c r="C80" s="128" t="s">
        <v>106</v>
      </c>
      <c r="D80" s="129"/>
      <c r="E80" s="130"/>
      <c r="F80" s="27">
        <f>SUM(F70,F74,F76,F79)</f>
        <v>0</v>
      </c>
    </row>
  </sheetData>
  <sheetProtection algorithmName="SHA-512" hashValue="+2pfhJOl/T+EyxQbA+hgZ7Cza5cM1Z3H+u5GivP1Dk0R7brd3lXjMYZS0Kv+khEpt2j0WxNiBpDHmWARieM4nQ==" saltValue="Thq4ev86GvyHwwpi1Tm9KQ==" spinCount="100000" sheet="1" objects="1" scenarios="1"/>
  <customSheetViews>
    <customSheetView guid="{36CC4794-C273-4B81-9A7D-2317288926D0}" showPageBreaks="1">
      <selection activeCell="C1" sqref="C1:D1"/>
      <rowBreaks count="1" manualBreakCount="1">
        <brk id="19" max="16383" man="1"/>
      </rowBreaks>
      <pageMargins left="0.7" right="0.7" top="0.75" bottom="0.75" header="0.3" footer="0.3"/>
      <pageSetup scale="89" orientation="portrait" r:id="rId1"/>
      <headerFooter>
        <oddHeader>&amp;L&amp;"Arial,Bold"&amp;16Overwater Structure Mitigation</oddHeader>
      </headerFooter>
    </customSheetView>
  </customSheetViews>
  <mergeCells count="50">
    <mergeCell ref="C6:F6"/>
    <mergeCell ref="C3:D3"/>
    <mergeCell ref="A4:F4"/>
    <mergeCell ref="C44:F44"/>
    <mergeCell ref="C49:F49"/>
    <mergeCell ref="C36:F36"/>
    <mergeCell ref="B7:B8"/>
    <mergeCell ref="C26:F26"/>
    <mergeCell ref="C31:F31"/>
    <mergeCell ref="C9:F9"/>
    <mergeCell ref="C43:F43"/>
    <mergeCell ref="C24:F24"/>
    <mergeCell ref="C25:F25"/>
    <mergeCell ref="B20:B21"/>
    <mergeCell ref="A1:F1"/>
    <mergeCell ref="C80:E80"/>
    <mergeCell ref="C78:F78"/>
    <mergeCell ref="C22:F22"/>
    <mergeCell ref="C19:F19"/>
    <mergeCell ref="C17:F17"/>
    <mergeCell ref="C42:F42"/>
    <mergeCell ref="C60:F60"/>
    <mergeCell ref="C73:F73"/>
    <mergeCell ref="D74:D75"/>
    <mergeCell ref="E74:E75"/>
    <mergeCell ref="F74:F75"/>
    <mergeCell ref="D76:D77"/>
    <mergeCell ref="E76:E77"/>
    <mergeCell ref="F76:F77"/>
    <mergeCell ref="D63:E63"/>
    <mergeCell ref="C70:E70"/>
    <mergeCell ref="D79:E79"/>
    <mergeCell ref="D69:E69"/>
    <mergeCell ref="D67:E67"/>
    <mergeCell ref="C54:F54"/>
    <mergeCell ref="C58:F58"/>
    <mergeCell ref="B10:B16"/>
    <mergeCell ref="C14:F14"/>
    <mergeCell ref="C15:F15"/>
    <mergeCell ref="F11:F13"/>
    <mergeCell ref="B61:B63"/>
    <mergeCell ref="C40:F40"/>
    <mergeCell ref="B64:B67"/>
    <mergeCell ref="B74:B77"/>
    <mergeCell ref="A27:A30"/>
    <mergeCell ref="A32:A41"/>
    <mergeCell ref="A50:A59"/>
    <mergeCell ref="A61:A68"/>
    <mergeCell ref="A45:A46"/>
    <mergeCell ref="A47:A48"/>
  </mergeCells>
  <hyperlinks>
    <hyperlink ref="C75" r:id="rId2"/>
    <hyperlink ref="C77" r:id="rId3"/>
  </hyperlinks>
  <pageMargins left="0.7" right="0.7" top="0.75" bottom="0.75" header="0.3" footer="0.3"/>
  <pageSetup scale="64" fitToHeight="4" orientation="portrait" r:id="rId4"/>
  <headerFooter>
    <oddHeader>&amp;L&amp;"Arial,Bold"&amp;16Overwater Structure Mitigation&amp;R&amp;"Arial,Bold"&amp;12Version: 8/27/2018</oddHeader>
  </headerFooter>
  <rowBreaks count="3" manualBreakCount="3">
    <brk id="23" max="5" man="1"/>
    <brk id="41" max="5" man="1"/>
    <brk id="59" max="5"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Mitigation Cover Sheet</vt:lpstr>
      <vt:lpstr>Required Mitigation</vt:lpstr>
      <vt:lpstr>Proposed Mitigation</vt:lpstr>
      <vt:lpstr>'Mitigation Cover Sheet'!Print_Area</vt:lpstr>
      <vt:lpstr>'Proposed Mitigation'!Print_Area</vt:lpstr>
      <vt:lpstr>'Proposed Mitigation'!Print_Titles</vt:lpstr>
      <vt:lpstr>'Required Mitigation'!Print_Titles</vt:lpstr>
    </vt:vector>
  </TitlesOfParts>
  <Company>United States Army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AGM</dc:creator>
  <cp:lastModifiedBy>Houghton</cp:lastModifiedBy>
  <cp:lastPrinted>2018-08-26T16:59:30Z</cp:lastPrinted>
  <dcterms:created xsi:type="dcterms:W3CDTF">2016-06-26T20:50:47Z</dcterms:created>
  <dcterms:modified xsi:type="dcterms:W3CDTF">2018-08-30T15:50:42Z</dcterms:modified>
</cp:coreProperties>
</file>